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4240" windowHeight="13140"/>
  </bookViews>
  <sheets>
    <sheet name="OCTUBRE 2024" sheetId="37" r:id="rId1"/>
  </sheets>
  <calcPr calcId="124519"/>
</workbook>
</file>

<file path=xl/calcChain.xml><?xml version="1.0" encoding="utf-8"?>
<calcChain xmlns="http://schemas.openxmlformats.org/spreadsheetml/2006/main">
  <c r="T155" i="37"/>
  <c r="S155"/>
  <c r="S154"/>
  <c r="T154" s="1"/>
  <c r="T153"/>
  <c r="S153"/>
  <c r="S152"/>
  <c r="R152"/>
  <c r="Q152"/>
  <c r="P152"/>
  <c r="O152"/>
  <c r="N152"/>
  <c r="M152"/>
  <c r="L152"/>
  <c r="K152"/>
  <c r="J152"/>
  <c r="I152"/>
  <c r="H152"/>
  <c r="G152"/>
  <c r="I150"/>
  <c r="H150"/>
  <c r="S150" s="1"/>
  <c r="T149"/>
  <c r="S149"/>
  <c r="R148"/>
  <c r="Q148"/>
  <c r="P148"/>
  <c r="O148"/>
  <c r="N148"/>
  <c r="M148"/>
  <c r="L148"/>
  <c r="K148"/>
  <c r="K141" s="1"/>
  <c r="K140" s="1"/>
  <c r="K139" s="1"/>
  <c r="J148"/>
  <c r="I148"/>
  <c r="G148"/>
  <c r="G141" s="1"/>
  <c r="S147"/>
  <c r="I147"/>
  <c r="S146"/>
  <c r="T146" s="1"/>
  <c r="T145"/>
  <c r="S145"/>
  <c r="S144"/>
  <c r="T144" s="1"/>
  <c r="T143"/>
  <c r="S143"/>
  <c r="S142"/>
  <c r="T142" s="1"/>
  <c r="T140" s="1"/>
  <c r="J141"/>
  <c r="J140" s="1"/>
  <c r="J139" s="1"/>
  <c r="O140"/>
  <c r="N140"/>
  <c r="M140"/>
  <c r="M139" s="1"/>
  <c r="M113" s="1"/>
  <c r="L140"/>
  <c r="L139" s="1"/>
  <c r="I140"/>
  <c r="G140"/>
  <c r="R139"/>
  <c r="Q139"/>
  <c r="P139"/>
  <c r="O139"/>
  <c r="N139"/>
  <c r="G139"/>
  <c r="T137"/>
  <c r="S137"/>
  <c r="R136"/>
  <c r="Q136"/>
  <c r="O136"/>
  <c r="M136"/>
  <c r="L136"/>
  <c r="J136"/>
  <c r="H136"/>
  <c r="H131" s="1"/>
  <c r="G136"/>
  <c r="G131" s="1"/>
  <c r="T135"/>
  <c r="S135"/>
  <c r="I135"/>
  <c r="O134"/>
  <c r="J134"/>
  <c r="S134" s="1"/>
  <c r="T134" s="1"/>
  <c r="I134"/>
  <c r="R133"/>
  <c r="R131" s="1"/>
  <c r="Q133"/>
  <c r="P133"/>
  <c r="M133"/>
  <c r="J133"/>
  <c r="S133" s="1"/>
  <c r="I133"/>
  <c r="T132"/>
  <c r="S132"/>
  <c r="I132"/>
  <c r="Q131"/>
  <c r="P131"/>
  <c r="O131"/>
  <c r="N131"/>
  <c r="M131"/>
  <c r="L131"/>
  <c r="K131"/>
  <c r="I131"/>
  <c r="S129"/>
  <c r="S128" s="1"/>
  <c r="S127" s="1"/>
  <c r="R129"/>
  <c r="R128" s="1"/>
  <c r="R127" s="1"/>
  <c r="I129"/>
  <c r="I128" s="1"/>
  <c r="I127" s="1"/>
  <c r="G129"/>
  <c r="T129" s="1"/>
  <c r="T128" s="1"/>
  <c r="T127" s="1"/>
  <c r="Q128"/>
  <c r="P128"/>
  <c r="P127" s="1"/>
  <c r="P113" s="1"/>
  <c r="O128"/>
  <c r="O127" s="1"/>
  <c r="N128"/>
  <c r="M128"/>
  <c r="L128"/>
  <c r="L127" s="1"/>
  <c r="L113" s="1"/>
  <c r="K128"/>
  <c r="K127" s="1"/>
  <c r="J128"/>
  <c r="H128"/>
  <c r="H127" s="1"/>
  <c r="G128"/>
  <c r="G127" s="1"/>
  <c r="Q127"/>
  <c r="N127"/>
  <c r="M127"/>
  <c r="J127"/>
  <c r="T126"/>
  <c r="S126"/>
  <c r="T125"/>
  <c r="S125"/>
  <c r="I125"/>
  <c r="T124"/>
  <c r="S124"/>
  <c r="S123"/>
  <c r="S121" s="1"/>
  <c r="I123"/>
  <c r="T122"/>
  <c r="S122"/>
  <c r="I122"/>
  <c r="R121"/>
  <c r="Q121"/>
  <c r="P121"/>
  <c r="O121"/>
  <c r="N121"/>
  <c r="M121"/>
  <c r="L121"/>
  <c r="K121"/>
  <c r="J121"/>
  <c r="I121"/>
  <c r="H121"/>
  <c r="G121"/>
  <c r="S119"/>
  <c r="S118" s="1"/>
  <c r="R118"/>
  <c r="Q118"/>
  <c r="P118"/>
  <c r="O118"/>
  <c r="N118"/>
  <c r="M118"/>
  <c r="L118"/>
  <c r="K118"/>
  <c r="J118"/>
  <c r="I118"/>
  <c r="H118"/>
  <c r="T116"/>
  <c r="S116"/>
  <c r="T115"/>
  <c r="T114" s="1"/>
  <c r="S115"/>
  <c r="G115"/>
  <c r="S114"/>
  <c r="R114"/>
  <c r="Q114"/>
  <c r="P114"/>
  <c r="O114"/>
  <c r="N114"/>
  <c r="N113" s="1"/>
  <c r="M114"/>
  <c r="L114"/>
  <c r="K114"/>
  <c r="J114"/>
  <c r="I114"/>
  <c r="H114"/>
  <c r="G114"/>
  <c r="Q113"/>
  <c r="R111"/>
  <c r="R109" s="1"/>
  <c r="Q111"/>
  <c r="P111"/>
  <c r="O111"/>
  <c r="O109" s="1"/>
  <c r="N111"/>
  <c r="N109" s="1"/>
  <c r="M111"/>
  <c r="L111"/>
  <c r="K111"/>
  <c r="K109" s="1"/>
  <c r="J111"/>
  <c r="J109" s="1"/>
  <c r="I111"/>
  <c r="H111"/>
  <c r="I110"/>
  <c r="Q109"/>
  <c r="P109"/>
  <c r="M109"/>
  <c r="L109"/>
  <c r="I109"/>
  <c r="H109"/>
  <c r="G109"/>
  <c r="R107"/>
  <c r="Q107"/>
  <c r="P107"/>
  <c r="O107"/>
  <c r="N107"/>
  <c r="M107"/>
  <c r="L107"/>
  <c r="K107"/>
  <c r="S107" s="1"/>
  <c r="T107" s="1"/>
  <c r="J107"/>
  <c r="I107"/>
  <c r="H107"/>
  <c r="T106"/>
  <c r="S106"/>
  <c r="O106"/>
  <c r="O102" s="1"/>
  <c r="I106"/>
  <c r="T105"/>
  <c r="S105"/>
  <c r="I105"/>
  <c r="S104"/>
  <c r="T104" s="1"/>
  <c r="I104"/>
  <c r="S103"/>
  <c r="I103"/>
  <c r="I102" s="1"/>
  <c r="G103"/>
  <c r="T103" s="1"/>
  <c r="T102" s="1"/>
  <c r="R102"/>
  <c r="Q102"/>
  <c r="P102"/>
  <c r="N102"/>
  <c r="M102"/>
  <c r="L102"/>
  <c r="J102"/>
  <c r="H102"/>
  <c r="T100"/>
  <c r="S100"/>
  <c r="R100"/>
  <c r="R99"/>
  <c r="Q99"/>
  <c r="O99"/>
  <c r="M99"/>
  <c r="M97" s="1"/>
  <c r="M93" s="1"/>
  <c r="L99"/>
  <c r="L97" s="1"/>
  <c r="L93" s="1"/>
  <c r="I99"/>
  <c r="S98"/>
  <c r="I98"/>
  <c r="I97" s="1"/>
  <c r="I93" s="1"/>
  <c r="G98"/>
  <c r="T98" s="1"/>
  <c r="R97"/>
  <c r="R93" s="1"/>
  <c r="Q97"/>
  <c r="P97"/>
  <c r="O97"/>
  <c r="N97"/>
  <c r="N93" s="1"/>
  <c r="K97"/>
  <c r="J97"/>
  <c r="J93" s="1"/>
  <c r="H97"/>
  <c r="G97"/>
  <c r="T95"/>
  <c r="S95"/>
  <c r="S94"/>
  <c r="Q94"/>
  <c r="P94"/>
  <c r="O94"/>
  <c r="I94"/>
  <c r="Q93"/>
  <c r="P93"/>
  <c r="H93"/>
  <c r="R91"/>
  <c r="Q91"/>
  <c r="P91"/>
  <c r="O91"/>
  <c r="O85" s="1"/>
  <c r="I91"/>
  <c r="H91"/>
  <c r="S90"/>
  <c r="T90" s="1"/>
  <c r="I90"/>
  <c r="I89"/>
  <c r="H89"/>
  <c r="S89" s="1"/>
  <c r="T89" s="1"/>
  <c r="R88"/>
  <c r="R86" s="1"/>
  <c r="I88"/>
  <c r="Q87"/>
  <c r="Q86" s="1"/>
  <c r="L87"/>
  <c r="S87" s="1"/>
  <c r="I87"/>
  <c r="P86"/>
  <c r="O86"/>
  <c r="N86"/>
  <c r="M86"/>
  <c r="K86"/>
  <c r="J86"/>
  <c r="I86"/>
  <c r="G86"/>
  <c r="G85" s="1"/>
  <c r="Q85"/>
  <c r="P85"/>
  <c r="N85"/>
  <c r="M85"/>
  <c r="L85"/>
  <c r="K85"/>
  <c r="J85"/>
  <c r="I85"/>
  <c r="H85"/>
  <c r="S84"/>
  <c r="T84" s="1"/>
  <c r="L83"/>
  <c r="K83"/>
  <c r="S83" s="1"/>
  <c r="I83"/>
  <c r="L82"/>
  <c r="L81" s="1"/>
  <c r="I82"/>
  <c r="R81"/>
  <c r="Q81"/>
  <c r="P81"/>
  <c r="O81"/>
  <c r="N81"/>
  <c r="M81"/>
  <c r="J81"/>
  <c r="I81"/>
  <c r="H81"/>
  <c r="G81"/>
  <c r="T79"/>
  <c r="S79"/>
  <c r="I79"/>
  <c r="S78"/>
  <c r="S76" s="1"/>
  <c r="I78"/>
  <c r="T77"/>
  <c r="S77"/>
  <c r="I77"/>
  <c r="R76"/>
  <c r="Q76"/>
  <c r="Q73" s="1"/>
  <c r="P76"/>
  <c r="O76"/>
  <c r="N76"/>
  <c r="M76"/>
  <c r="M73" s="1"/>
  <c r="L76"/>
  <c r="K76"/>
  <c r="J76"/>
  <c r="I76"/>
  <c r="I73" s="1"/>
  <c r="H76"/>
  <c r="G76"/>
  <c r="R74"/>
  <c r="R73" s="1"/>
  <c r="Q74"/>
  <c r="P74"/>
  <c r="O74"/>
  <c r="O73" s="1"/>
  <c r="N74"/>
  <c r="N73" s="1"/>
  <c r="M74"/>
  <c r="L74"/>
  <c r="K74"/>
  <c r="K73" s="1"/>
  <c r="J74"/>
  <c r="J73" s="1"/>
  <c r="I74"/>
  <c r="H74"/>
  <c r="P73"/>
  <c r="L73"/>
  <c r="H73"/>
  <c r="G73"/>
  <c r="T72"/>
  <c r="I72"/>
  <c r="T71"/>
  <c r="S71"/>
  <c r="I71"/>
  <c r="R70"/>
  <c r="R69" s="1"/>
  <c r="Q70"/>
  <c r="Q69" s="1"/>
  <c r="P70"/>
  <c r="O70"/>
  <c r="O69" s="1"/>
  <c r="N70"/>
  <c r="N69" s="1"/>
  <c r="M70"/>
  <c r="M69" s="1"/>
  <c r="L70"/>
  <c r="K70"/>
  <c r="K69" s="1"/>
  <c r="J70"/>
  <c r="J69" s="1"/>
  <c r="I70"/>
  <c r="H70"/>
  <c r="P69"/>
  <c r="L69"/>
  <c r="H69"/>
  <c r="G69"/>
  <c r="I69" s="1"/>
  <c r="T68"/>
  <c r="I68"/>
  <c r="T67"/>
  <c r="S67"/>
  <c r="I67"/>
  <c r="P66"/>
  <c r="P65" s="1"/>
  <c r="O66"/>
  <c r="O65" s="1"/>
  <c r="L66"/>
  <c r="K66"/>
  <c r="S66" s="1"/>
  <c r="I66"/>
  <c r="R65"/>
  <c r="Q65"/>
  <c r="N65"/>
  <c r="M65"/>
  <c r="L65"/>
  <c r="J65"/>
  <c r="I65"/>
  <c r="H65"/>
  <c r="G65"/>
  <c r="T63"/>
  <c r="S63"/>
  <c r="R63"/>
  <c r="I63"/>
  <c r="T62"/>
  <c r="S62"/>
  <c r="R62"/>
  <c r="I62"/>
  <c r="T61"/>
  <c r="S61"/>
  <c r="R61"/>
  <c r="Q61"/>
  <c r="P61"/>
  <c r="O61"/>
  <c r="N61"/>
  <c r="M61"/>
  <c r="L61"/>
  <c r="K61"/>
  <c r="J61"/>
  <c r="I61"/>
  <c r="H61"/>
  <c r="G61"/>
  <c r="T59"/>
  <c r="S59"/>
  <c r="I59"/>
  <c r="T58"/>
  <c r="S58"/>
  <c r="R58"/>
  <c r="Q58"/>
  <c r="P58"/>
  <c r="O58"/>
  <c r="N58"/>
  <c r="M58"/>
  <c r="L58"/>
  <c r="K58"/>
  <c r="J58"/>
  <c r="I58"/>
  <c r="H58"/>
  <c r="G58"/>
  <c r="S56"/>
  <c r="T56" s="1"/>
  <c r="I56"/>
  <c r="T55"/>
  <c r="S55"/>
  <c r="R54"/>
  <c r="R53" s="1"/>
  <c r="Q54"/>
  <c r="P54"/>
  <c r="P53" s="1"/>
  <c r="P52" s="1"/>
  <c r="O54"/>
  <c r="O53" s="1"/>
  <c r="N54"/>
  <c r="N53" s="1"/>
  <c r="M54"/>
  <c r="L54"/>
  <c r="L53" s="1"/>
  <c r="L52" s="1"/>
  <c r="K54"/>
  <c r="K53" s="1"/>
  <c r="J54"/>
  <c r="J53" s="1"/>
  <c r="I54"/>
  <c r="H54"/>
  <c r="S54" s="1"/>
  <c r="Q53"/>
  <c r="Q52" s="1"/>
  <c r="M53"/>
  <c r="I53"/>
  <c r="G53"/>
  <c r="T50"/>
  <c r="S50"/>
  <c r="I50"/>
  <c r="T49"/>
  <c r="S49"/>
  <c r="I49"/>
  <c r="S48"/>
  <c r="T48" s="1"/>
  <c r="T47" s="1"/>
  <c r="L48"/>
  <c r="L47" s="1"/>
  <c r="I48"/>
  <c r="S47"/>
  <c r="R47"/>
  <c r="Q47"/>
  <c r="P47"/>
  <c r="O47"/>
  <c r="N47"/>
  <c r="M47"/>
  <c r="K47"/>
  <c r="J47"/>
  <c r="I47"/>
  <c r="H47"/>
  <c r="G47"/>
  <c r="J45"/>
  <c r="K45" s="1"/>
  <c r="I45"/>
  <c r="H45"/>
  <c r="S45" s="1"/>
  <c r="T45" s="1"/>
  <c r="H44"/>
  <c r="H43" s="1"/>
  <c r="N43"/>
  <c r="M43"/>
  <c r="L43"/>
  <c r="G43"/>
  <c r="S41"/>
  <c r="T40"/>
  <c r="S40"/>
  <c r="P40"/>
  <c r="S39"/>
  <c r="S32" s="1"/>
  <c r="S31" s="1"/>
  <c r="P39"/>
  <c r="T38"/>
  <c r="S38"/>
  <c r="T37"/>
  <c r="S37"/>
  <c r="T36"/>
  <c r="S36"/>
  <c r="I36"/>
  <c r="I32" s="1"/>
  <c r="I31" s="1"/>
  <c r="I12" s="1"/>
  <c r="T35"/>
  <c r="S35"/>
  <c r="Q35"/>
  <c r="T34"/>
  <c r="S34"/>
  <c r="S33"/>
  <c r="T33" s="1"/>
  <c r="R32"/>
  <c r="Q32"/>
  <c r="P32"/>
  <c r="P31" s="1"/>
  <c r="P12" s="1"/>
  <c r="O32"/>
  <c r="O31" s="1"/>
  <c r="O12" s="1"/>
  <c r="N32"/>
  <c r="M32"/>
  <c r="L32"/>
  <c r="L31" s="1"/>
  <c r="K32"/>
  <c r="K31" s="1"/>
  <c r="K12" s="1"/>
  <c r="J32"/>
  <c r="H32"/>
  <c r="H31" s="1"/>
  <c r="H12" s="1"/>
  <c r="G32"/>
  <c r="G31" s="1"/>
  <c r="G12" s="1"/>
  <c r="R31"/>
  <c r="Q31"/>
  <c r="N31"/>
  <c r="M31"/>
  <c r="J31"/>
  <c r="T28"/>
  <c r="S28"/>
  <c r="S27"/>
  <c r="T27" s="1"/>
  <c r="T26"/>
  <c r="T25" s="1"/>
  <c r="S26"/>
  <c r="S25" s="1"/>
  <c r="R25"/>
  <c r="Q25"/>
  <c r="P25"/>
  <c r="O25"/>
  <c r="N25"/>
  <c r="M25"/>
  <c r="L25"/>
  <c r="K25"/>
  <c r="J25"/>
  <c r="I25"/>
  <c r="H25"/>
  <c r="G25"/>
  <c r="T23"/>
  <c r="T22" s="1"/>
  <c r="S23"/>
  <c r="I23"/>
  <c r="S22"/>
  <c r="R22"/>
  <c r="Q22"/>
  <c r="P22"/>
  <c r="O22"/>
  <c r="N22"/>
  <c r="M22"/>
  <c r="L22"/>
  <c r="K22"/>
  <c r="J22"/>
  <c r="I22"/>
  <c r="H22"/>
  <c r="G22"/>
  <c r="T20"/>
  <c r="S20"/>
  <c r="I20"/>
  <c r="S19"/>
  <c r="R18"/>
  <c r="Q18"/>
  <c r="Q17" s="1"/>
  <c r="Q13" s="1"/>
  <c r="Q12" s="1"/>
  <c r="P18"/>
  <c r="O18"/>
  <c r="N18"/>
  <c r="M18"/>
  <c r="M17" s="1"/>
  <c r="M13" s="1"/>
  <c r="M12" s="1"/>
  <c r="L18"/>
  <c r="K18"/>
  <c r="J18"/>
  <c r="I18"/>
  <c r="H18"/>
  <c r="S18" s="1"/>
  <c r="R17"/>
  <c r="P17"/>
  <c r="O17"/>
  <c r="N17"/>
  <c r="L17"/>
  <c r="K17"/>
  <c r="J17"/>
  <c r="I17"/>
  <c r="H17"/>
  <c r="G17"/>
  <c r="R15"/>
  <c r="Q15"/>
  <c r="P15"/>
  <c r="O15"/>
  <c r="N15"/>
  <c r="M15"/>
  <c r="L15"/>
  <c r="K15"/>
  <c r="J15"/>
  <c r="I15"/>
  <c r="H15"/>
  <c r="S15" s="1"/>
  <c r="R14"/>
  <c r="Q14"/>
  <c r="P14"/>
  <c r="O14"/>
  <c r="N14"/>
  <c r="M14"/>
  <c r="L14"/>
  <c r="K14"/>
  <c r="J14"/>
  <c r="I14"/>
  <c r="H14"/>
  <c r="G14"/>
  <c r="R13"/>
  <c r="P13"/>
  <c r="O13"/>
  <c r="N13"/>
  <c r="L13"/>
  <c r="K13"/>
  <c r="J13"/>
  <c r="I13"/>
  <c r="H13"/>
  <c r="G13"/>
  <c r="R12"/>
  <c r="N12"/>
  <c r="J12"/>
  <c r="T66" l="1"/>
  <c r="T65" s="1"/>
  <c r="S65"/>
  <c r="T133"/>
  <c r="T83"/>
  <c r="I141"/>
  <c r="O93"/>
  <c r="O52" s="1"/>
  <c r="M52"/>
  <c r="J52"/>
  <c r="R52"/>
  <c r="G93"/>
  <c r="G113"/>
  <c r="K113"/>
  <c r="O113"/>
  <c r="I139"/>
  <c r="I113" s="1"/>
  <c r="I157" s="1"/>
  <c r="L12"/>
  <c r="I52"/>
  <c r="G52"/>
  <c r="Q157"/>
  <c r="R113"/>
  <c r="R157" s="1"/>
  <c r="T148"/>
  <c r="S53"/>
  <c r="T54"/>
  <c r="L157"/>
  <c r="P157"/>
  <c r="M157"/>
  <c r="T18"/>
  <c r="T17" s="1"/>
  <c r="S17"/>
  <c r="S14"/>
  <c r="T15"/>
  <c r="T14" s="1"/>
  <c r="T13" s="1"/>
  <c r="T87"/>
  <c r="S85"/>
  <c r="T150"/>
  <c r="S148"/>
  <c r="N52"/>
  <c r="N157" s="1"/>
  <c r="T152"/>
  <c r="T39"/>
  <c r="T32" s="1"/>
  <c r="T31" s="1"/>
  <c r="I44"/>
  <c r="K65"/>
  <c r="T78"/>
  <c r="T76" s="1"/>
  <c r="K81"/>
  <c r="S82"/>
  <c r="T82" s="1"/>
  <c r="R85"/>
  <c r="H86"/>
  <c r="L86"/>
  <c r="S88"/>
  <c r="T88" s="1"/>
  <c r="T94"/>
  <c r="G102"/>
  <c r="K102"/>
  <c r="K93" s="1"/>
  <c r="K52" s="1"/>
  <c r="S102"/>
  <c r="T119"/>
  <c r="T118" s="1"/>
  <c r="T123"/>
  <c r="T121" s="1"/>
  <c r="J131"/>
  <c r="J113" s="1"/>
  <c r="J157" s="1"/>
  <c r="I136"/>
  <c r="H148"/>
  <c r="H141" s="1"/>
  <c r="S70"/>
  <c r="S74"/>
  <c r="T74" s="1"/>
  <c r="S91"/>
  <c r="T91" s="1"/>
  <c r="S99"/>
  <c r="S111"/>
  <c r="S136"/>
  <c r="S131" s="1"/>
  <c r="H53"/>
  <c r="H52" s="1"/>
  <c r="S69" l="1"/>
  <c r="S52" s="1"/>
  <c r="T70"/>
  <c r="T69" s="1"/>
  <c r="J44"/>
  <c r="I43"/>
  <c r="T53"/>
  <c r="S141"/>
  <c r="H140"/>
  <c r="H139" s="1"/>
  <c r="H113" s="1"/>
  <c r="H157" s="1"/>
  <c r="T85"/>
  <c r="T86"/>
  <c r="S86"/>
  <c r="S13"/>
  <c r="S12" s="1"/>
  <c r="T136"/>
  <c r="T12"/>
  <c r="G157"/>
  <c r="T73"/>
  <c r="S73"/>
  <c r="K157"/>
  <c r="T81"/>
  <c r="S97"/>
  <c r="S93" s="1"/>
  <c r="T99"/>
  <c r="T97" s="1"/>
  <c r="T93" s="1"/>
  <c r="O157"/>
  <c r="S81"/>
  <c r="S109"/>
  <c r="T111"/>
  <c r="T109" s="1"/>
  <c r="T131"/>
  <c r="S140" l="1"/>
  <c r="S139" s="1"/>
  <c r="S113" s="1"/>
  <c r="S157" s="1"/>
  <c r="T141"/>
  <c r="T139" s="1"/>
  <c r="T113" s="1"/>
  <c r="T157" s="1"/>
  <c r="K44"/>
  <c r="K43" s="1"/>
  <c r="J43"/>
  <c r="S44"/>
  <c r="T52"/>
  <c r="S43" l="1"/>
  <c r="T44"/>
  <c r="T43" s="1"/>
</calcChain>
</file>

<file path=xl/sharedStrings.xml><?xml version="1.0" encoding="utf-8"?>
<sst xmlns="http://schemas.openxmlformats.org/spreadsheetml/2006/main" count="165" uniqueCount="145">
  <si>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</si>
  <si>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</si>
  <si>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</si>
  <si>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</si>
  <si>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</si>
  <si>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</si>
  <si>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</si>
  <si>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</si>
  <si>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</si>
  <si>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</si>
  <si>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</si>
  <si>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</si>
  <si>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</si>
  <si>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</si>
  <si>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</si>
  <si>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</si>
  <si>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</si>
  <si>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</si>
  <si>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</si>
  <si>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</si>
  <si>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</si>
  <si>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</si>
  <si>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</si>
  <si>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</si>
  <si>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</si>
  <si>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</si>
  <si>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</si>
  <si>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</si>
  <si>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</si>
  <si>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</si>
  <si>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</si>
  <si>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</si>
  <si>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</si>
  <si>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</si>
  <si>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</si>
  <si>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</si>
  <si>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</si>
  <si>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</si>
  <si>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</si>
  <si>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</si>
  <si>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</si>
  <si>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</si>
  <si>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</si>
  <si>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</si>
  <si>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</si>
  <si>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</si>
  <si>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</si>
  <si>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</si>
  <si>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</si>
  <si>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</si>
  <si>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</si>
  <si>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</si>
  <si>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</si>
  <si>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</si>
  <si>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</si>
  <si>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Personas</t>
  </si>
  <si>
    <t xml:space="preserve">Servicios de conservación , rep. menores e inst. temporales </t>
  </si>
  <si>
    <t>Reparaciones de maquinarias y equipos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</si>
  <si>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</si>
  <si>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</si>
  <si>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</si>
  <si>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</si>
  <si>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</si>
  <si>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</si>
  <si>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</si>
  <si>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</si>
  <si>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</si>
  <si>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</si>
  <si>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</si>
  <si>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</si>
  <si>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</si>
  <si>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</si>
  <si>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</si>
  <si>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</si>
  <si>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</si>
  <si>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</si>
  <si>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</si>
  <si>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</si>
  <si>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</si>
  <si>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</si>
  <si>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</si>
  <si>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</si>
  <si>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</si>
  <si>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</si>
  <si>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</si>
  <si>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</si>
  <si>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</si>
  <si>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</si>
  <si>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</si>
  <si>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</si>
  <si>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</si>
  <si>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</si>
  <si>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</si>
  <si>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</si>
  <si>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</si>
  <si>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>Muebles y equipos de oficina y estantería</t>
  </si>
  <si>
    <t>Equipos de computos</t>
  </si>
  <si>
    <t>Electrodomésticos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</si>
  <si>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</si>
  <si>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</si>
  <si>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</si>
  <si>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</si>
  <si>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</si>
  <si>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Equipo de elevación</t>
  </si>
  <si>
    <t xml:space="preserve">TOTAL </t>
  </si>
  <si>
    <t>Otras contrataciones de servicios</t>
  </si>
  <si>
    <t>Servicios de alimentación</t>
  </si>
  <si>
    <t>Compensación Extraordinarias</t>
  </si>
  <si>
    <t>Seguro de Bienes Muebles</t>
  </si>
  <si>
    <t>Automóviles y Camiones</t>
  </si>
  <si>
    <t xml:space="preserve"> </t>
  </si>
  <si>
    <t xml:space="preserve">Encargada de Presupuesto </t>
  </si>
  <si>
    <t>Efigenia Acevedo</t>
  </si>
  <si>
    <t>Bienes Intagibles</t>
  </si>
  <si>
    <t>Ojeto</t>
  </si>
  <si>
    <t>Rafael Toribio</t>
  </si>
  <si>
    <t>TOTAL</t>
  </si>
  <si>
    <t>Otros servicios técnicos profecionales</t>
  </si>
  <si>
    <t>Lic. Jóse Ventura</t>
  </si>
  <si>
    <t>Presidente CES</t>
  </si>
  <si>
    <t>Servicios especiales de mantenimiento y reparación</t>
  </si>
  <si>
    <t xml:space="preserve">Licencias Informaticas Intelectuales, Industriales </t>
  </si>
  <si>
    <t>Director Administrativo Financiero</t>
  </si>
  <si>
    <t>Presupuesto por ejecutar</t>
  </si>
  <si>
    <t xml:space="preserve">                                                         Consejo Economico y Social</t>
  </si>
  <si>
    <t xml:space="preserve">                                      Ejecucion Presupuestal al 31 de Octubre 2024</t>
  </si>
  <si>
    <t xml:space="preserve">                                                               (Valores en RD$)</t>
  </si>
  <si>
    <t>Presupuesto Ene-Dic.2024</t>
  </si>
  <si>
    <t>Ejecut. Enero,  2024</t>
  </si>
  <si>
    <t>Ejecut. Febrero,  2024</t>
  </si>
  <si>
    <t>Ejecut. Marzo,  2024</t>
  </si>
  <si>
    <t>Ejecut. Abril,  2024</t>
  </si>
  <si>
    <t>Ejecut. Mayo,  2024</t>
  </si>
  <si>
    <t>Ejecut. Junio,  2024</t>
  </si>
  <si>
    <t>Ejecut. Julio,  2024</t>
  </si>
  <si>
    <t>Ejecut. agosto,  2024</t>
  </si>
  <si>
    <t>Ejecut. Septiembre ,  2025</t>
  </si>
  <si>
    <t>Ejecut. Octubre ,  2025</t>
  </si>
  <si>
    <t>.</t>
  </si>
  <si>
    <t>Compensación por Desempeño</t>
  </si>
  <si>
    <t>Prestaciones y Bonificaciones</t>
  </si>
  <si>
    <t>Bonos Escolar</t>
  </si>
  <si>
    <t>Vacaciones</t>
  </si>
  <si>
    <t>Otros gastos Institucionales</t>
  </si>
  <si>
    <t xml:space="preserve">  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</si>
</sst>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b/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Cambria"/>
      <family val="1"/>
    </font>
    <font>
      <sz val="16"/>
      <color rgb="FFFF0000"/>
      <name val="Cambria"/>
      <family val="1"/>
    </font>
    <font>
      <b/>
      <sz val="11"/>
      <color theme="1"/>
      <name val="Cambria"/>
      <family val="2"/>
      <scheme val="major"/>
    </font>
    <font>
      <b/>
      <sz val="14"/>
      <color theme="1"/>
      <name val="Cambria"/>
      <family val="2"/>
      <scheme val="major"/>
    </font>
    <font>
      <sz val="16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3" fillId="0" borderId="0" xfId="0" applyFont="1"/>
    <xf numFmtId="1" fontId="0" fillId="2" borderId="0" xfId="0" applyNumberFormat="1" applyFill="1"/>
    <xf numFmtId="164" fontId="5" fillId="2" borderId="4" xfId="1" applyNumberFormat="1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41" fontId="10" fillId="0" borderId="0" xfId="0" applyNumberFormat="1" applyFont="1" applyAlignment="1">
      <alignment horizontal="center"/>
    </xf>
    <xf numFmtId="43" fontId="10" fillId="0" borderId="0" xfId="1" applyFont="1" applyAlignment="1">
      <alignment horizontal="center"/>
    </xf>
    <xf numFmtId="43" fontId="10" fillId="0" borderId="0" xfId="0" applyNumberFormat="1" applyFont="1" applyAlignment="1">
      <alignment horizontal="center"/>
    </xf>
    <xf numFmtId="43" fontId="9" fillId="0" borderId="0" xfId="1" applyFont="1" applyAlignment="1">
      <alignment horizontal="center"/>
    </xf>
    <xf numFmtId="43" fontId="10" fillId="0" borderId="0" xfId="1" applyFont="1"/>
    <xf numFmtId="43" fontId="0" fillId="2" borderId="0" xfId="1" applyFont="1" applyFill="1"/>
    <xf numFmtId="43" fontId="0" fillId="0" borderId="0" xfId="1" applyFont="1"/>
    <xf numFmtId="43" fontId="0" fillId="0" borderId="0" xfId="1" applyFont="1" applyBorder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41" fontId="5" fillId="0" borderId="11" xfId="0" applyNumberFormat="1" applyFont="1" applyBorder="1"/>
    <xf numFmtId="164" fontId="5" fillId="2" borderId="6" xfId="1" applyNumberFormat="1" applyFont="1" applyFill="1" applyBorder="1"/>
    <xf numFmtId="41" fontId="8" fillId="0" borderId="3" xfId="0" applyNumberFormat="1" applyFont="1" applyBorder="1"/>
    <xf numFmtId="164" fontId="5" fillId="2" borderId="15" xfId="1" applyNumberFormat="1" applyFont="1" applyFill="1" applyBorder="1"/>
    <xf numFmtId="164" fontId="6" fillId="2" borderId="6" xfId="1" applyNumberFormat="1" applyFont="1" applyFill="1" applyBorder="1"/>
    <xf numFmtId="164" fontId="5" fillId="2" borderId="11" xfId="1" applyNumberFormat="1" applyFont="1" applyFill="1" applyBorder="1"/>
    <xf numFmtId="43" fontId="0" fillId="0" borderId="0" xfId="0" applyNumberFormat="1"/>
    <xf numFmtId="164" fontId="8" fillId="2" borderId="6" xfId="1" applyNumberFormat="1" applyFont="1" applyFill="1" applyBorder="1"/>
    <xf numFmtId="164" fontId="8" fillId="2" borderId="15" xfId="1" applyNumberFormat="1" applyFont="1" applyFill="1" applyBorder="1"/>
    <xf numFmtId="164" fontId="5" fillId="2" borderId="3" xfId="1" applyNumberFormat="1" applyFont="1" applyFill="1" applyBorder="1"/>
    <xf numFmtId="164" fontId="8" fillId="2" borderId="3" xfId="1" applyNumberFormat="1" applyFont="1" applyFill="1" applyBorder="1"/>
    <xf numFmtId="164" fontId="8" fillId="2" borderId="11" xfId="1" applyNumberFormat="1" applyFont="1" applyFill="1" applyBorder="1"/>
    <xf numFmtId="164" fontId="5" fillId="2" borderId="16" xfId="1" applyNumberFormat="1" applyFont="1" applyFill="1" applyBorder="1"/>
    <xf numFmtId="41" fontId="8" fillId="0" borderId="6" xfId="0" applyNumberFormat="1" applyFont="1" applyBorder="1"/>
    <xf numFmtId="41" fontId="5" fillId="0" borderId="15" xfId="0" applyNumberFormat="1" applyFont="1" applyBorder="1"/>
    <xf numFmtId="164" fontId="6" fillId="2" borderId="3" xfId="1" applyNumberFormat="1" applyFont="1" applyFill="1" applyBorder="1"/>
    <xf numFmtId="43" fontId="10" fillId="0" borderId="0" xfId="0" applyNumberFormat="1" applyFont="1"/>
    <xf numFmtId="43" fontId="1" fillId="0" borderId="0" xfId="1" applyFont="1"/>
    <xf numFmtId="0" fontId="11" fillId="0" borderId="0" xfId="0" applyFont="1"/>
    <xf numFmtId="1" fontId="11" fillId="2" borderId="0" xfId="0" applyNumberFormat="1" applyFont="1" applyFill="1"/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" fontId="14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 wrapText="1"/>
    </xf>
    <xf numFmtId="1" fontId="14" fillId="2" borderId="4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1" fontId="14" fillId="2" borderId="3" xfId="0" applyNumberFormat="1" applyFont="1" applyFill="1" applyBorder="1" applyAlignment="1">
      <alignment horizontal="center" wrapText="1"/>
    </xf>
    <xf numFmtId="0" fontId="15" fillId="0" borderId="4" xfId="0" applyFont="1" applyBorder="1"/>
    <xf numFmtId="0" fontId="14" fillId="0" borderId="3" xfId="0" applyFont="1" applyBorder="1" applyAlignment="1">
      <alignment horizontal="center" wrapText="1"/>
    </xf>
    <xf numFmtId="0" fontId="14" fillId="0" borderId="10" xfId="0" applyFont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1" fontId="14" fillId="2" borderId="3" xfId="0" applyNumberFormat="1" applyFont="1" applyFill="1" applyBorder="1" applyAlignment="1">
      <alignment horizontal="center"/>
    </xf>
    <xf numFmtId="0" fontId="13" fillId="0" borderId="5" xfId="0" applyFont="1" applyBorder="1"/>
    <xf numFmtId="0" fontId="13" fillId="0" borderId="5" xfId="0" applyFont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 wrapText="1"/>
    </xf>
    <xf numFmtId="41" fontId="14" fillId="0" borderId="7" xfId="0" applyNumberFormat="1" applyFont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1" fontId="14" fillId="2" borderId="15" xfId="0" applyNumberFormat="1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left" wrapText="1"/>
    </xf>
    <xf numFmtId="41" fontId="14" fillId="0" borderId="10" xfId="0" applyNumberFormat="1" applyFont="1" applyBorder="1"/>
    <xf numFmtId="41" fontId="14" fillId="2" borderId="10" xfId="0" applyNumberFormat="1" applyFont="1" applyFill="1" applyBorder="1"/>
    <xf numFmtId="41" fontId="14" fillId="0" borderId="11" xfId="0" applyNumberFormat="1" applyFont="1" applyBorder="1"/>
    <xf numFmtId="164" fontId="14" fillId="2" borderId="5" xfId="1" applyNumberFormat="1" applyFont="1" applyFill="1" applyBorder="1"/>
    <xf numFmtId="164" fontId="14" fillId="2" borderId="6" xfId="1" applyNumberFormat="1" applyFont="1" applyFill="1" applyBorder="1"/>
    <xf numFmtId="41" fontId="16" fillId="0" borderId="4" xfId="0" applyNumberFormat="1" applyFont="1" applyBorder="1"/>
    <xf numFmtId="164" fontId="16" fillId="2" borderId="4" xfId="1" applyNumberFormat="1" applyFont="1" applyFill="1" applyBorder="1"/>
    <xf numFmtId="41" fontId="16" fillId="0" borderId="3" xfId="0" applyNumberFormat="1" applyFont="1" applyBorder="1"/>
    <xf numFmtId="0" fontId="13" fillId="0" borderId="5" xfId="0" applyFont="1" applyBorder="1" applyAlignment="1">
      <alignment wrapText="1"/>
    </xf>
    <xf numFmtId="41" fontId="14" fillId="0" borderId="7" xfId="0" applyNumberFormat="1" applyFont="1" applyBorder="1"/>
    <xf numFmtId="164" fontId="14" fillId="2" borderId="7" xfId="1" applyNumberFormat="1" applyFont="1" applyFill="1" applyBorder="1"/>
    <xf numFmtId="164" fontId="14" fillId="2" borderId="15" xfId="1" applyNumberFormat="1" applyFont="1" applyFill="1" applyBorder="1"/>
    <xf numFmtId="41" fontId="13" fillId="0" borderId="5" xfId="0" applyNumberFormat="1" applyFont="1" applyBorder="1"/>
    <xf numFmtId="164" fontId="13" fillId="2" borderId="5" xfId="1" applyNumberFormat="1" applyFont="1" applyFill="1" applyBorder="1"/>
    <xf numFmtId="164" fontId="13" fillId="2" borderId="6" xfId="1" applyNumberFormat="1" applyFont="1" applyFill="1" applyBorder="1"/>
    <xf numFmtId="0" fontId="14" fillId="0" borderId="5" xfId="0" applyFont="1" applyBorder="1" applyAlignment="1">
      <alignment wrapText="1"/>
    </xf>
    <xf numFmtId="164" fontId="14" fillId="2" borderId="10" xfId="1" applyNumberFormat="1" applyFont="1" applyFill="1" applyBorder="1"/>
    <xf numFmtId="164" fontId="14" fillId="2" borderId="11" xfId="1" applyNumberFormat="1" applyFont="1" applyFill="1" applyBorder="1"/>
    <xf numFmtId="0" fontId="16" fillId="0" borderId="5" xfId="0" applyFont="1" applyBorder="1" applyAlignment="1">
      <alignment wrapText="1"/>
    </xf>
    <xf numFmtId="41" fontId="16" fillId="0" borderId="7" xfId="0" applyNumberFormat="1" applyFont="1" applyBorder="1"/>
    <xf numFmtId="41" fontId="16" fillId="0" borderId="5" xfId="0" applyNumberFormat="1" applyFont="1" applyBorder="1"/>
    <xf numFmtId="164" fontId="16" fillId="2" borderId="5" xfId="1" applyNumberFormat="1" applyFont="1" applyFill="1" applyBorder="1"/>
    <xf numFmtId="164" fontId="16" fillId="2" borderId="6" xfId="1" applyNumberFormat="1" applyFont="1" applyFill="1" applyBorder="1"/>
    <xf numFmtId="164" fontId="14" fillId="2" borderId="9" xfId="1" applyNumberFormat="1" applyFont="1" applyFill="1" applyBorder="1"/>
    <xf numFmtId="164" fontId="16" fillId="2" borderId="7" xfId="1" applyNumberFormat="1" applyFont="1" applyFill="1" applyBorder="1"/>
    <xf numFmtId="164" fontId="16" fillId="2" borderId="15" xfId="1" applyNumberFormat="1" applyFont="1" applyFill="1" applyBorder="1"/>
    <xf numFmtId="41" fontId="16" fillId="0" borderId="10" xfId="0" applyNumberFormat="1" applyFont="1" applyBorder="1"/>
    <xf numFmtId="41" fontId="14" fillId="0" borderId="4" xfId="0" applyNumberFormat="1" applyFont="1" applyBorder="1"/>
    <xf numFmtId="164" fontId="14" fillId="2" borderId="4" xfId="1" applyNumberFormat="1" applyFont="1" applyFill="1" applyBorder="1"/>
    <xf numFmtId="164" fontId="14" fillId="2" borderId="17" xfId="1" applyNumberFormat="1" applyFont="1" applyFill="1" applyBorder="1"/>
    <xf numFmtId="41" fontId="17" fillId="0" borderId="5" xfId="0" applyNumberFormat="1" applyFont="1" applyBorder="1"/>
    <xf numFmtId="164" fontId="14" fillId="2" borderId="8" xfId="1" applyNumberFormat="1" applyFont="1" applyFill="1" applyBorder="1"/>
    <xf numFmtId="164" fontId="16" fillId="2" borderId="18" xfId="1" applyNumberFormat="1" applyFont="1" applyFill="1" applyBorder="1"/>
    <xf numFmtId="164" fontId="16" fillId="2" borderId="8" xfId="1" applyNumberFormat="1" applyFont="1" applyFill="1" applyBorder="1"/>
    <xf numFmtId="164" fontId="16" fillId="2" borderId="19" xfId="1" applyNumberFormat="1" applyFont="1" applyFill="1" applyBorder="1"/>
    <xf numFmtId="164" fontId="16" fillId="2" borderId="11" xfId="1" applyNumberFormat="1" applyFont="1" applyFill="1" applyBorder="1"/>
    <xf numFmtId="164" fontId="13" fillId="2" borderId="7" xfId="1" applyNumberFormat="1" applyFont="1" applyFill="1" applyBorder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4" fontId="16" fillId="2" borderId="3" xfId="1" applyNumberFormat="1" applyFont="1" applyFill="1" applyBorder="1"/>
    <xf numFmtId="164" fontId="16" fillId="2" borderId="10" xfId="1" applyNumberFormat="1" applyFont="1" applyFill="1" applyBorder="1"/>
    <xf numFmtId="164" fontId="14" fillId="2" borderId="16" xfId="1" applyNumberFormat="1" applyFont="1" applyFill="1" applyBorder="1"/>
    <xf numFmtId="0" fontId="16" fillId="0" borderId="5" xfId="0" applyFont="1" applyBorder="1" applyAlignment="1">
      <alignment horizontal="center"/>
    </xf>
    <xf numFmtId="164" fontId="14" fillId="2" borderId="3" xfId="1" applyNumberFormat="1" applyFont="1" applyFill="1" applyBorder="1"/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5" xfId="0" applyFont="1" applyFill="1" applyBorder="1" applyAlignment="1">
      <alignment wrapText="1"/>
    </xf>
    <xf numFmtId="41" fontId="16" fillId="2" borderId="10" xfId="0" applyNumberFormat="1" applyFont="1" applyFill="1" applyBorder="1"/>
    <xf numFmtId="164" fontId="13" fillId="2" borderId="4" xfId="1" applyNumberFormat="1" applyFont="1" applyFill="1" applyBorder="1"/>
    <xf numFmtId="41" fontId="14" fillId="0" borderId="5" xfId="0" applyNumberFormat="1" applyFont="1" applyBorder="1"/>
    <xf numFmtId="41" fontId="14" fillId="2" borderId="4" xfId="0" applyNumberFormat="1" applyFont="1" applyFill="1" applyBorder="1"/>
    <xf numFmtId="41" fontId="14" fillId="0" borderId="3" xfId="0" applyNumberFormat="1" applyFont="1" applyBorder="1"/>
    <xf numFmtId="0" fontId="16" fillId="2" borderId="5" xfId="0" applyFont="1" applyFill="1" applyBorder="1" applyAlignment="1">
      <alignment wrapText="1"/>
    </xf>
    <xf numFmtId="41" fontId="14" fillId="2" borderId="5" xfId="0" applyNumberFormat="1" applyFont="1" applyFill="1" applyBorder="1"/>
    <xf numFmtId="41" fontId="16" fillId="2" borderId="5" xfId="0" applyNumberFormat="1" applyFont="1" applyFill="1" applyBorder="1"/>
    <xf numFmtId="41" fontId="16" fillId="2" borderId="7" xfId="0" applyNumberFormat="1" applyFont="1" applyFill="1" applyBorder="1"/>
    <xf numFmtId="41" fontId="14" fillId="2" borderId="7" xfId="0" applyNumberFormat="1" applyFont="1" applyFill="1" applyBorder="1"/>
    <xf numFmtId="0" fontId="16" fillId="0" borderId="8" xfId="0" applyFont="1" applyBorder="1" applyAlignment="1">
      <alignment wrapText="1"/>
    </xf>
    <xf numFmtId="0" fontId="14" fillId="0" borderId="8" xfId="0" applyFont="1" applyBorder="1" applyAlignment="1">
      <alignment wrapText="1"/>
    </xf>
    <xf numFmtId="41" fontId="14" fillId="0" borderId="9" xfId="0" applyNumberFormat="1" applyFont="1" applyBorder="1"/>
    <xf numFmtId="41" fontId="16" fillId="0" borderId="6" xfId="0" applyNumberFormat="1" applyFont="1" applyBorder="1"/>
    <xf numFmtId="41" fontId="14" fillId="0" borderId="15" xfId="0" applyNumberFormat="1" applyFont="1" applyBorder="1"/>
    <xf numFmtId="164" fontId="13" fillId="2" borderId="3" xfId="1" applyNumberFormat="1" applyFont="1" applyFill="1" applyBorder="1"/>
    <xf numFmtId="0" fontId="14" fillId="0" borderId="6" xfId="0" applyFont="1" applyBorder="1" applyAlignment="1">
      <alignment wrapText="1"/>
    </xf>
    <xf numFmtId="0" fontId="16" fillId="0" borderId="6" xfId="0" applyFont="1" applyBorder="1" applyAlignment="1">
      <alignment wrapText="1"/>
    </xf>
    <xf numFmtId="41" fontId="16" fillId="0" borderId="15" xfId="0" applyNumberFormat="1" applyFont="1" applyBorder="1"/>
    <xf numFmtId="164" fontId="16" fillId="2" borderId="20" xfId="1" applyNumberFormat="1" applyFont="1" applyFill="1" applyBorder="1"/>
    <xf numFmtId="0" fontId="14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41" fontId="14" fillId="2" borderId="9" xfId="0" applyNumberFormat="1" applyFont="1" applyFill="1" applyBorder="1"/>
    <xf numFmtId="0" fontId="13" fillId="0" borderId="6" xfId="0" applyFont="1" applyBorder="1" applyAlignment="1">
      <alignment wrapText="1"/>
    </xf>
    <xf numFmtId="41" fontId="16" fillId="2" borderId="4" xfId="0" applyNumberFormat="1" applyFont="1" applyFill="1" applyBorder="1"/>
    <xf numFmtId="41" fontId="16" fillId="0" borderId="21" xfId="0" applyNumberFormat="1" applyFont="1" applyBorder="1"/>
    <xf numFmtId="0" fontId="16" fillId="0" borderId="8" xfId="0" applyFont="1" applyBorder="1"/>
    <xf numFmtId="41" fontId="16" fillId="2" borderId="8" xfId="0" applyNumberFormat="1" applyFont="1" applyFill="1" applyBorder="1"/>
    <xf numFmtId="0" fontId="13" fillId="0" borderId="10" xfId="0" applyFont="1" applyBorder="1" applyAlignment="1">
      <alignment horizontal="center"/>
    </xf>
    <xf numFmtId="0" fontId="13" fillId="0" borderId="11" xfId="0" applyFont="1" applyBorder="1"/>
    <xf numFmtId="0" fontId="13" fillId="0" borderId="10" xfId="0" applyFont="1" applyBorder="1"/>
    <xf numFmtId="0" fontId="14" fillId="0" borderId="14" xfId="0" applyFont="1" applyBorder="1" applyAlignment="1">
      <alignment horizontal="center" wrapText="1"/>
    </xf>
    <xf numFmtId="41" fontId="14" fillId="2" borderId="17" xfId="0" applyNumberFormat="1" applyFont="1" applyFill="1" applyBorder="1"/>
    <xf numFmtId="0" fontId="13" fillId="0" borderId="0" xfId="0" applyFont="1"/>
    <xf numFmtId="41" fontId="13" fillId="0" borderId="0" xfId="0" applyNumberFormat="1" applyFont="1"/>
    <xf numFmtId="1" fontId="13" fillId="2" borderId="0" xfId="0" applyNumberFormat="1" applyFont="1" applyFill="1"/>
    <xf numFmtId="43" fontId="18" fillId="0" borderId="0" xfId="1" applyFont="1" applyAlignment="1">
      <alignment wrapText="1"/>
    </xf>
    <xf numFmtId="49" fontId="13" fillId="0" borderId="0" xfId="0" applyNumberFormat="1" applyFont="1" applyAlignment="1">
      <alignment horizontal="center"/>
    </xf>
    <xf numFmtId="0" fontId="19" fillId="0" borderId="0" xfId="0" applyFont="1"/>
    <xf numFmtId="43" fontId="13" fillId="2" borderId="0" xfId="1" applyFont="1" applyFill="1" applyBorder="1"/>
    <xf numFmtId="43" fontId="0" fillId="0" borderId="0" xfId="1" applyFont="1" applyAlignment="1">
      <alignment wrapText="1"/>
    </xf>
    <xf numFmtId="49" fontId="13" fillId="0" borderId="0" xfId="0" applyNumberFormat="1" applyFont="1"/>
    <xf numFmtId="0" fontId="19" fillId="0" borderId="0" xfId="0" applyFont="1" applyAlignment="1">
      <alignment horizontal="center"/>
    </xf>
    <xf numFmtId="41" fontId="13" fillId="0" borderId="0" xfId="0" applyNumberFormat="1" applyFont="1" applyAlignment="1">
      <alignment horizontal="center"/>
    </xf>
    <xf numFmtId="43" fontId="13" fillId="2" borderId="0" xfId="1" applyFon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3" fontId="15" fillId="2" borderId="0" xfId="1" applyFont="1" applyFill="1" applyBorder="1" applyAlignment="1">
      <alignment horizont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41" fontId="20" fillId="0" borderId="0" xfId="0" applyNumberFormat="1" applyFont="1" applyAlignment="1">
      <alignment horizontal="center"/>
    </xf>
    <xf numFmtId="41" fontId="11" fillId="0" borderId="0" xfId="0" applyNumberFormat="1" applyFont="1" applyAlignment="1">
      <alignment horizontal="center"/>
    </xf>
    <xf numFmtId="43" fontId="9" fillId="0" borderId="0" xfId="0" applyNumberFormat="1" applyFont="1"/>
    <xf numFmtId="43" fontId="7" fillId="2" borderId="0" xfId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/>
    </xf>
    <xf numFmtId="43" fontId="20" fillId="0" borderId="0" xfId="1" applyFont="1" applyAlignment="1">
      <alignment horizontal="center"/>
    </xf>
    <xf numFmtId="43" fontId="11" fillId="0" borderId="0" xfId="1" applyFont="1" applyAlignment="1">
      <alignment horizontal="center"/>
    </xf>
    <xf numFmtId="43" fontId="9" fillId="0" borderId="0" xfId="1" applyFont="1" applyBorder="1" applyAlignment="1">
      <alignment horizontal="center"/>
    </xf>
    <xf numFmtId="41" fontId="18" fillId="0" borderId="0" xfId="0" applyNumberFormat="1" applyFont="1" applyAlignment="1">
      <alignment horizontal="center" wrapText="1"/>
    </xf>
    <xf numFmtId="43" fontId="21" fillId="0" borderId="0" xfId="1" applyFont="1" applyAlignment="1">
      <alignment horizontal="center"/>
    </xf>
    <xf numFmtId="43" fontId="10" fillId="0" borderId="0" xfId="1" applyFont="1" applyBorder="1" applyAlignment="1">
      <alignment horizontal="center"/>
    </xf>
    <xf numFmtId="41" fontId="18" fillId="0" borderId="0" xfId="0" applyNumberFormat="1" applyFont="1" applyAlignment="1">
      <alignment horizontal="left" wrapText="1"/>
    </xf>
    <xf numFmtId="43" fontId="20" fillId="0" borderId="0" xfId="1" applyFont="1" applyAlignment="1">
      <alignment horizontal="center" wrapText="1"/>
    </xf>
    <xf numFmtId="43" fontId="11" fillId="0" borderId="0" xfId="1" applyFont="1" applyBorder="1" applyAlignment="1">
      <alignment horizontal="center"/>
    </xf>
    <xf numFmtId="43" fontId="11" fillId="0" borderId="0" xfId="1" applyFont="1"/>
    <xf numFmtId="43" fontId="22" fillId="0" borderId="0" xfId="1" applyFont="1" applyAlignment="1">
      <alignment horizontal="center"/>
    </xf>
    <xf numFmtId="43" fontId="23" fillId="0" borderId="0" xfId="1" applyFont="1" applyAlignment="1">
      <alignment horizontal="center"/>
    </xf>
    <xf numFmtId="43" fontId="23" fillId="0" borderId="0" xfId="0" applyNumberFormat="1" applyFont="1" applyAlignment="1">
      <alignment horizontal="center"/>
    </xf>
    <xf numFmtId="43" fontId="4" fillId="0" borderId="0" xfId="1" applyFont="1"/>
    <xf numFmtId="0" fontId="20" fillId="0" borderId="12" xfId="0" applyFont="1" applyBorder="1" applyAlignment="1">
      <alignment horizontal="center"/>
    </xf>
    <xf numFmtId="43" fontId="24" fillId="0" borderId="0" xfId="1" applyFont="1" applyAlignment="1">
      <alignment horizontal="center"/>
    </xf>
    <xf numFmtId="1" fontId="18" fillId="2" borderId="0" xfId="0" applyNumberFormat="1" applyFont="1" applyFill="1" applyAlignment="1">
      <alignment horizontal="left" wrapText="1"/>
    </xf>
    <xf numFmtId="43" fontId="18" fillId="0" borderId="0" xfId="1" applyFont="1" applyAlignment="1">
      <alignment horizontal="left"/>
    </xf>
    <xf numFmtId="43" fontId="19" fillId="0" borderId="0" xfId="1" applyFont="1" applyAlignment="1">
      <alignment horizontal="center"/>
    </xf>
    <xf numFmtId="43" fontId="18" fillId="0" borderId="0" xfId="1" applyFont="1"/>
    <xf numFmtId="43" fontId="18" fillId="2" borderId="0" xfId="1" applyFont="1" applyFill="1"/>
    <xf numFmtId="43" fontId="11" fillId="2" borderId="0" xfId="1" applyFont="1" applyFill="1"/>
    <xf numFmtId="43" fontId="18" fillId="2" borderId="0" xfId="1" applyFont="1" applyFill="1" applyAlignment="1">
      <alignment horizontal="left"/>
    </xf>
    <xf numFmtId="0" fontId="0" fillId="0" borderId="0" xfId="0" applyBorder="1"/>
    <xf numFmtId="43" fontId="18" fillId="2" borderId="0" xfId="1" applyFont="1" applyFill="1" applyBorder="1" applyAlignment="1">
      <alignment horizontal="left"/>
    </xf>
    <xf numFmtId="43" fontId="18" fillId="0" borderId="0" xfId="0" applyNumberFormat="1" applyFont="1" applyBorder="1"/>
    <xf numFmtId="43" fontId="18" fillId="2" borderId="0" xfId="1" applyFont="1" applyFill="1" applyAlignment="1">
      <alignment horizontal="left" wrapText="1"/>
    </xf>
    <xf numFmtId="1" fontId="18" fillId="2" borderId="0" xfId="0" applyNumberFormat="1" applyFont="1" applyFill="1" applyAlignment="1">
      <alignment wrapText="1"/>
    </xf>
    <xf numFmtId="1" fontId="18" fillId="2" borderId="0" xfId="0" applyNumberFormat="1" applyFont="1" applyFill="1"/>
    <xf numFmtId="1" fontId="1" fillId="2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57"/>
  <sheetViews>
    <sheetView tabSelected="1" topLeftCell="K151" workbookViewId="0">
      <selection activeCell="N166" sqref="N166"/>
    </sheetView>
  </sheetViews>
  <sheetFormatPr baseColWidth="10" defaultColWidth="11.42578125" defaultRowHeight="15"/>
  <cols>
    <col min="1" max="1" width="6.7109375" customWidth="1"/>
    <col min="2" max="2" width="8.28515625" customWidth="1"/>
    <col min="3" max="3" width="7.42578125" bestFit="1" customWidth="1"/>
    <col min="4" max="4" width="5.7109375" customWidth="1"/>
    <col min="5" max="5" width="4" customWidth="1"/>
    <col min="6" max="6" width="30" customWidth="1"/>
    <col min="7" max="7" width="15.140625" customWidth="1"/>
    <col min="8" max="8" width="14.28515625" style="5" customWidth="1"/>
    <col min="9" max="9" width="23.42578125" hidden="1" customWidth="1"/>
    <col min="10" max="10" width="14.7109375" customWidth="1"/>
    <col min="11" max="11" width="13.7109375" customWidth="1"/>
    <col min="12" max="12" width="13.42578125" customWidth="1"/>
    <col min="13" max="13" width="13.85546875" customWidth="1"/>
    <col min="14" max="14" width="13.28515625" customWidth="1"/>
    <col min="15" max="15" width="15.140625" customWidth="1"/>
    <col min="16" max="16" width="14.140625" customWidth="1"/>
    <col min="17" max="17" width="15.7109375" customWidth="1"/>
    <col min="18" max="18" width="19.7109375" customWidth="1"/>
    <col min="19" max="19" width="19.42578125" customWidth="1"/>
    <col min="20" max="20" width="16.7109375" customWidth="1"/>
    <col min="213" max="213" width="4.85546875" bestFit="1" customWidth="1"/>
    <col min="214" max="214" width="5.85546875" bestFit="1" customWidth="1"/>
    <col min="215" max="215" width="7.42578125" bestFit="1" customWidth="1"/>
    <col min="216" max="216" width="8.140625" bestFit="1" customWidth="1"/>
    <col min="217" max="217" width="4.5703125" bestFit="1" customWidth="1"/>
    <col min="218" max="218" width="57.5703125" customWidth="1"/>
    <col min="219" max="219" width="14.28515625" customWidth="1"/>
    <col min="220" max="220" width="0.85546875" customWidth="1"/>
    <col min="221" max="221" width="16.5703125" bestFit="1" customWidth="1"/>
    <col min="222" max="222" width="13.42578125" bestFit="1" customWidth="1"/>
    <col min="469" max="469" width="4.85546875" bestFit="1" customWidth="1"/>
    <col min="470" max="470" width="5.85546875" bestFit="1" customWidth="1"/>
    <col min="471" max="471" width="7.42578125" bestFit="1" customWidth="1"/>
    <col min="472" max="472" width="8.140625" bestFit="1" customWidth="1"/>
    <col min="473" max="473" width="4.5703125" bestFit="1" customWidth="1"/>
    <col min="474" max="474" width="57.5703125" customWidth="1"/>
    <col min="475" max="475" width="14.28515625" customWidth="1"/>
    <col min="476" max="476" width="0.85546875" customWidth="1"/>
    <col min="477" max="477" width="16.5703125" bestFit="1" customWidth="1"/>
    <col min="478" max="478" width="13.42578125" bestFit="1" customWidth="1"/>
    <col min="725" max="725" width="4.85546875" bestFit="1" customWidth="1"/>
    <col min="726" max="726" width="5.85546875" bestFit="1" customWidth="1"/>
    <col min="727" max="727" width="7.42578125" bestFit="1" customWidth="1"/>
    <col min="728" max="728" width="8.140625" bestFit="1" customWidth="1"/>
    <col min="729" max="729" width="4.5703125" bestFit="1" customWidth="1"/>
    <col min="730" max="730" width="57.5703125" customWidth="1"/>
    <col min="731" max="731" width="14.28515625" customWidth="1"/>
    <col min="732" max="732" width="0.85546875" customWidth="1"/>
    <col min="733" max="733" width="16.5703125" bestFit="1" customWidth="1"/>
    <col min="734" max="734" width="13.42578125" bestFit="1" customWidth="1"/>
    <col min="981" max="981" width="4.85546875" bestFit="1" customWidth="1"/>
    <col min="982" max="982" width="5.85546875" bestFit="1" customWidth="1"/>
    <col min="983" max="983" width="7.42578125" bestFit="1" customWidth="1"/>
    <col min="984" max="984" width="8.140625" bestFit="1" customWidth="1"/>
    <col min="985" max="985" width="4.5703125" bestFit="1" customWidth="1"/>
    <col min="986" max="986" width="57.5703125" customWidth="1"/>
    <col min="987" max="987" width="14.28515625" customWidth="1"/>
    <col min="988" max="988" width="0.85546875" customWidth="1"/>
    <col min="989" max="989" width="16.5703125" bestFit="1" customWidth="1"/>
    <col min="990" max="990" width="13.42578125" bestFit="1" customWidth="1"/>
    <col min="1237" max="1237" width="4.85546875" bestFit="1" customWidth="1"/>
    <col min="1238" max="1238" width="5.85546875" bestFit="1" customWidth="1"/>
    <col min="1239" max="1239" width="7.42578125" bestFit="1" customWidth="1"/>
    <col min="1240" max="1240" width="8.140625" bestFit="1" customWidth="1"/>
    <col min="1241" max="1241" width="4.5703125" bestFit="1" customWidth="1"/>
    <col min="1242" max="1242" width="57.5703125" customWidth="1"/>
    <col min="1243" max="1243" width="14.28515625" customWidth="1"/>
    <col min="1244" max="1244" width="0.85546875" customWidth="1"/>
    <col min="1245" max="1245" width="16.5703125" bestFit="1" customWidth="1"/>
    <col min="1246" max="1246" width="13.42578125" bestFit="1" customWidth="1"/>
    <col min="1493" max="1493" width="4.85546875" bestFit="1" customWidth="1"/>
    <col min="1494" max="1494" width="5.85546875" bestFit="1" customWidth="1"/>
    <col min="1495" max="1495" width="7.42578125" bestFit="1" customWidth="1"/>
    <col min="1496" max="1496" width="8.140625" bestFit="1" customWidth="1"/>
    <col min="1497" max="1497" width="4.5703125" bestFit="1" customWidth="1"/>
    <col min="1498" max="1498" width="57.5703125" customWidth="1"/>
    <col min="1499" max="1499" width="14.28515625" customWidth="1"/>
    <col min="1500" max="1500" width="0.85546875" customWidth="1"/>
    <col min="1501" max="1501" width="16.5703125" bestFit="1" customWidth="1"/>
    <col min="1502" max="1502" width="13.42578125" bestFit="1" customWidth="1"/>
    <col min="1749" max="1749" width="4.85546875" bestFit="1" customWidth="1"/>
    <col min="1750" max="1750" width="5.85546875" bestFit="1" customWidth="1"/>
    <col min="1751" max="1751" width="7.42578125" bestFit="1" customWidth="1"/>
    <col min="1752" max="1752" width="8.140625" bestFit="1" customWidth="1"/>
    <col min="1753" max="1753" width="4.5703125" bestFit="1" customWidth="1"/>
    <col min="1754" max="1754" width="57.5703125" customWidth="1"/>
    <col min="1755" max="1755" width="14.28515625" customWidth="1"/>
    <col min="1756" max="1756" width="0.85546875" customWidth="1"/>
    <col min="1757" max="1757" width="16.5703125" bestFit="1" customWidth="1"/>
    <col min="1758" max="1758" width="13.42578125" bestFit="1" customWidth="1"/>
    <col min="2005" max="2005" width="4.85546875" bestFit="1" customWidth="1"/>
    <col min="2006" max="2006" width="5.85546875" bestFit="1" customWidth="1"/>
    <col min="2007" max="2007" width="7.42578125" bestFit="1" customWidth="1"/>
    <col min="2008" max="2008" width="8.140625" bestFit="1" customWidth="1"/>
    <col min="2009" max="2009" width="4.5703125" bestFit="1" customWidth="1"/>
    <col min="2010" max="2010" width="57.5703125" customWidth="1"/>
    <col min="2011" max="2011" width="14.28515625" customWidth="1"/>
    <col min="2012" max="2012" width="0.85546875" customWidth="1"/>
    <col min="2013" max="2013" width="16.5703125" bestFit="1" customWidth="1"/>
    <col min="2014" max="2014" width="13.42578125" bestFit="1" customWidth="1"/>
    <col min="2261" max="2261" width="4.85546875" bestFit="1" customWidth="1"/>
    <col min="2262" max="2262" width="5.85546875" bestFit="1" customWidth="1"/>
    <col min="2263" max="2263" width="7.42578125" bestFit="1" customWidth="1"/>
    <col min="2264" max="2264" width="8.140625" bestFit="1" customWidth="1"/>
    <col min="2265" max="2265" width="4.5703125" bestFit="1" customWidth="1"/>
    <col min="2266" max="2266" width="57.5703125" customWidth="1"/>
    <col min="2267" max="2267" width="14.28515625" customWidth="1"/>
    <col min="2268" max="2268" width="0.85546875" customWidth="1"/>
    <col min="2269" max="2269" width="16.5703125" bestFit="1" customWidth="1"/>
    <col min="2270" max="2270" width="13.42578125" bestFit="1" customWidth="1"/>
    <col min="2517" max="2517" width="4.85546875" bestFit="1" customWidth="1"/>
    <col min="2518" max="2518" width="5.85546875" bestFit="1" customWidth="1"/>
    <col min="2519" max="2519" width="7.42578125" bestFit="1" customWidth="1"/>
    <col min="2520" max="2520" width="8.140625" bestFit="1" customWidth="1"/>
    <col min="2521" max="2521" width="4.5703125" bestFit="1" customWidth="1"/>
    <col min="2522" max="2522" width="57.5703125" customWidth="1"/>
    <col min="2523" max="2523" width="14.28515625" customWidth="1"/>
    <col min="2524" max="2524" width="0.85546875" customWidth="1"/>
    <col min="2525" max="2525" width="16.5703125" bestFit="1" customWidth="1"/>
    <col min="2526" max="2526" width="13.42578125" bestFit="1" customWidth="1"/>
    <col min="2773" max="2773" width="4.85546875" bestFit="1" customWidth="1"/>
    <col min="2774" max="2774" width="5.85546875" bestFit="1" customWidth="1"/>
    <col min="2775" max="2775" width="7.42578125" bestFit="1" customWidth="1"/>
    <col min="2776" max="2776" width="8.140625" bestFit="1" customWidth="1"/>
    <col min="2777" max="2777" width="4.5703125" bestFit="1" customWidth="1"/>
    <col min="2778" max="2778" width="57.5703125" customWidth="1"/>
    <col min="2779" max="2779" width="14.28515625" customWidth="1"/>
    <col min="2780" max="2780" width="0.85546875" customWidth="1"/>
    <col min="2781" max="2781" width="16.5703125" bestFit="1" customWidth="1"/>
    <col min="2782" max="2782" width="13.42578125" bestFit="1" customWidth="1"/>
    <col min="3029" max="3029" width="4.85546875" bestFit="1" customWidth="1"/>
    <col min="3030" max="3030" width="5.85546875" bestFit="1" customWidth="1"/>
    <col min="3031" max="3031" width="7.42578125" bestFit="1" customWidth="1"/>
    <col min="3032" max="3032" width="8.140625" bestFit="1" customWidth="1"/>
    <col min="3033" max="3033" width="4.5703125" bestFit="1" customWidth="1"/>
    <col min="3034" max="3034" width="57.5703125" customWidth="1"/>
    <col min="3035" max="3035" width="14.28515625" customWidth="1"/>
    <col min="3036" max="3036" width="0.85546875" customWidth="1"/>
    <col min="3037" max="3037" width="16.5703125" bestFit="1" customWidth="1"/>
    <col min="3038" max="3038" width="13.42578125" bestFit="1" customWidth="1"/>
    <col min="3285" max="3285" width="4.85546875" bestFit="1" customWidth="1"/>
    <col min="3286" max="3286" width="5.85546875" bestFit="1" customWidth="1"/>
    <col min="3287" max="3287" width="7.42578125" bestFit="1" customWidth="1"/>
    <col min="3288" max="3288" width="8.140625" bestFit="1" customWidth="1"/>
    <col min="3289" max="3289" width="4.5703125" bestFit="1" customWidth="1"/>
    <col min="3290" max="3290" width="57.5703125" customWidth="1"/>
    <col min="3291" max="3291" width="14.28515625" customWidth="1"/>
    <col min="3292" max="3292" width="0.85546875" customWidth="1"/>
    <col min="3293" max="3293" width="16.5703125" bestFit="1" customWidth="1"/>
    <col min="3294" max="3294" width="13.42578125" bestFit="1" customWidth="1"/>
    <col min="3541" max="3541" width="4.85546875" bestFit="1" customWidth="1"/>
    <col min="3542" max="3542" width="5.85546875" bestFit="1" customWidth="1"/>
    <col min="3543" max="3543" width="7.42578125" bestFit="1" customWidth="1"/>
    <col min="3544" max="3544" width="8.140625" bestFit="1" customWidth="1"/>
    <col min="3545" max="3545" width="4.5703125" bestFit="1" customWidth="1"/>
    <col min="3546" max="3546" width="57.5703125" customWidth="1"/>
    <col min="3547" max="3547" width="14.28515625" customWidth="1"/>
    <col min="3548" max="3548" width="0.85546875" customWidth="1"/>
    <col min="3549" max="3549" width="16.5703125" bestFit="1" customWidth="1"/>
    <col min="3550" max="3550" width="13.42578125" bestFit="1" customWidth="1"/>
    <col min="3797" max="3797" width="4.85546875" bestFit="1" customWidth="1"/>
    <col min="3798" max="3798" width="5.85546875" bestFit="1" customWidth="1"/>
    <col min="3799" max="3799" width="7.42578125" bestFit="1" customWidth="1"/>
    <col min="3800" max="3800" width="8.140625" bestFit="1" customWidth="1"/>
    <col min="3801" max="3801" width="4.5703125" bestFit="1" customWidth="1"/>
    <col min="3802" max="3802" width="57.5703125" customWidth="1"/>
    <col min="3803" max="3803" width="14.28515625" customWidth="1"/>
    <col min="3804" max="3804" width="0.85546875" customWidth="1"/>
    <col min="3805" max="3805" width="16.5703125" bestFit="1" customWidth="1"/>
    <col min="3806" max="3806" width="13.42578125" bestFit="1" customWidth="1"/>
    <col min="4053" max="4053" width="4.85546875" bestFit="1" customWidth="1"/>
    <col min="4054" max="4054" width="5.85546875" bestFit="1" customWidth="1"/>
    <col min="4055" max="4055" width="7.42578125" bestFit="1" customWidth="1"/>
    <col min="4056" max="4056" width="8.140625" bestFit="1" customWidth="1"/>
    <col min="4057" max="4057" width="4.5703125" bestFit="1" customWidth="1"/>
    <col min="4058" max="4058" width="57.5703125" customWidth="1"/>
    <col min="4059" max="4059" width="14.28515625" customWidth="1"/>
    <col min="4060" max="4060" width="0.85546875" customWidth="1"/>
    <col min="4061" max="4061" width="16.5703125" bestFit="1" customWidth="1"/>
    <col min="4062" max="4062" width="13.42578125" bestFit="1" customWidth="1"/>
    <col min="4309" max="4309" width="4.85546875" bestFit="1" customWidth="1"/>
    <col min="4310" max="4310" width="5.85546875" bestFit="1" customWidth="1"/>
    <col min="4311" max="4311" width="7.42578125" bestFit="1" customWidth="1"/>
    <col min="4312" max="4312" width="8.140625" bestFit="1" customWidth="1"/>
    <col min="4313" max="4313" width="4.5703125" bestFit="1" customWidth="1"/>
    <col min="4314" max="4314" width="57.5703125" customWidth="1"/>
    <col min="4315" max="4315" width="14.28515625" customWidth="1"/>
    <col min="4316" max="4316" width="0.85546875" customWidth="1"/>
    <col min="4317" max="4317" width="16.5703125" bestFit="1" customWidth="1"/>
    <col min="4318" max="4318" width="13.42578125" bestFit="1" customWidth="1"/>
    <col min="4565" max="4565" width="4.85546875" bestFit="1" customWidth="1"/>
    <col min="4566" max="4566" width="5.85546875" bestFit="1" customWidth="1"/>
    <col min="4567" max="4567" width="7.42578125" bestFit="1" customWidth="1"/>
    <col min="4568" max="4568" width="8.140625" bestFit="1" customWidth="1"/>
    <col min="4569" max="4569" width="4.5703125" bestFit="1" customWidth="1"/>
    <col min="4570" max="4570" width="57.5703125" customWidth="1"/>
    <col min="4571" max="4571" width="14.28515625" customWidth="1"/>
    <col min="4572" max="4572" width="0.85546875" customWidth="1"/>
    <col min="4573" max="4573" width="16.5703125" bestFit="1" customWidth="1"/>
    <col min="4574" max="4574" width="13.42578125" bestFit="1" customWidth="1"/>
    <col min="4821" max="4821" width="4.85546875" bestFit="1" customWidth="1"/>
    <col min="4822" max="4822" width="5.85546875" bestFit="1" customWidth="1"/>
    <col min="4823" max="4823" width="7.42578125" bestFit="1" customWidth="1"/>
    <col min="4824" max="4824" width="8.140625" bestFit="1" customWidth="1"/>
    <col min="4825" max="4825" width="4.5703125" bestFit="1" customWidth="1"/>
    <col min="4826" max="4826" width="57.5703125" customWidth="1"/>
    <col min="4827" max="4827" width="14.28515625" customWidth="1"/>
    <col min="4828" max="4828" width="0.85546875" customWidth="1"/>
    <col min="4829" max="4829" width="16.5703125" bestFit="1" customWidth="1"/>
    <col min="4830" max="4830" width="13.42578125" bestFit="1" customWidth="1"/>
    <col min="5077" max="5077" width="4.85546875" bestFit="1" customWidth="1"/>
    <col min="5078" max="5078" width="5.85546875" bestFit="1" customWidth="1"/>
    <col min="5079" max="5079" width="7.42578125" bestFit="1" customWidth="1"/>
    <col min="5080" max="5080" width="8.140625" bestFit="1" customWidth="1"/>
    <col min="5081" max="5081" width="4.5703125" bestFit="1" customWidth="1"/>
    <col min="5082" max="5082" width="57.5703125" customWidth="1"/>
    <col min="5083" max="5083" width="14.28515625" customWidth="1"/>
    <col min="5084" max="5084" width="0.85546875" customWidth="1"/>
    <col min="5085" max="5085" width="16.5703125" bestFit="1" customWidth="1"/>
    <col min="5086" max="5086" width="13.42578125" bestFit="1" customWidth="1"/>
    <col min="5333" max="5333" width="4.85546875" bestFit="1" customWidth="1"/>
    <col min="5334" max="5334" width="5.85546875" bestFit="1" customWidth="1"/>
    <col min="5335" max="5335" width="7.42578125" bestFit="1" customWidth="1"/>
    <col min="5336" max="5336" width="8.140625" bestFit="1" customWidth="1"/>
    <col min="5337" max="5337" width="4.5703125" bestFit="1" customWidth="1"/>
    <col min="5338" max="5338" width="57.5703125" customWidth="1"/>
    <col min="5339" max="5339" width="14.28515625" customWidth="1"/>
    <col min="5340" max="5340" width="0.85546875" customWidth="1"/>
    <col min="5341" max="5341" width="16.5703125" bestFit="1" customWidth="1"/>
    <col min="5342" max="5342" width="13.42578125" bestFit="1" customWidth="1"/>
    <col min="5589" max="5589" width="4.85546875" bestFit="1" customWidth="1"/>
    <col min="5590" max="5590" width="5.85546875" bestFit="1" customWidth="1"/>
    <col min="5591" max="5591" width="7.42578125" bestFit="1" customWidth="1"/>
    <col min="5592" max="5592" width="8.140625" bestFit="1" customWidth="1"/>
    <col min="5593" max="5593" width="4.5703125" bestFit="1" customWidth="1"/>
    <col min="5594" max="5594" width="57.5703125" customWidth="1"/>
    <col min="5595" max="5595" width="14.28515625" customWidth="1"/>
    <col min="5596" max="5596" width="0.85546875" customWidth="1"/>
    <col min="5597" max="5597" width="16.5703125" bestFit="1" customWidth="1"/>
    <col min="5598" max="5598" width="13.42578125" bestFit="1" customWidth="1"/>
    <col min="5845" max="5845" width="4.85546875" bestFit="1" customWidth="1"/>
    <col min="5846" max="5846" width="5.85546875" bestFit="1" customWidth="1"/>
    <col min="5847" max="5847" width="7.42578125" bestFit="1" customWidth="1"/>
    <col min="5848" max="5848" width="8.140625" bestFit="1" customWidth="1"/>
    <col min="5849" max="5849" width="4.5703125" bestFit="1" customWidth="1"/>
    <col min="5850" max="5850" width="57.5703125" customWidth="1"/>
    <col min="5851" max="5851" width="14.28515625" customWidth="1"/>
    <col min="5852" max="5852" width="0.85546875" customWidth="1"/>
    <col min="5853" max="5853" width="16.5703125" bestFit="1" customWidth="1"/>
    <col min="5854" max="5854" width="13.42578125" bestFit="1" customWidth="1"/>
    <col min="6101" max="6101" width="4.85546875" bestFit="1" customWidth="1"/>
    <col min="6102" max="6102" width="5.85546875" bestFit="1" customWidth="1"/>
    <col min="6103" max="6103" width="7.42578125" bestFit="1" customWidth="1"/>
    <col min="6104" max="6104" width="8.140625" bestFit="1" customWidth="1"/>
    <col min="6105" max="6105" width="4.5703125" bestFit="1" customWidth="1"/>
    <col min="6106" max="6106" width="57.5703125" customWidth="1"/>
    <col min="6107" max="6107" width="14.28515625" customWidth="1"/>
    <col min="6108" max="6108" width="0.85546875" customWidth="1"/>
    <col min="6109" max="6109" width="16.5703125" bestFit="1" customWidth="1"/>
    <col min="6110" max="6110" width="13.42578125" bestFit="1" customWidth="1"/>
    <col min="6357" max="6357" width="4.85546875" bestFit="1" customWidth="1"/>
    <col min="6358" max="6358" width="5.85546875" bestFit="1" customWidth="1"/>
    <col min="6359" max="6359" width="7.42578125" bestFit="1" customWidth="1"/>
    <col min="6360" max="6360" width="8.140625" bestFit="1" customWidth="1"/>
    <col min="6361" max="6361" width="4.5703125" bestFit="1" customWidth="1"/>
    <col min="6362" max="6362" width="57.5703125" customWidth="1"/>
    <col min="6363" max="6363" width="14.28515625" customWidth="1"/>
    <col min="6364" max="6364" width="0.85546875" customWidth="1"/>
    <col min="6365" max="6365" width="16.5703125" bestFit="1" customWidth="1"/>
    <col min="6366" max="6366" width="13.42578125" bestFit="1" customWidth="1"/>
    <col min="6613" max="6613" width="4.85546875" bestFit="1" customWidth="1"/>
    <col min="6614" max="6614" width="5.85546875" bestFit="1" customWidth="1"/>
    <col min="6615" max="6615" width="7.42578125" bestFit="1" customWidth="1"/>
    <col min="6616" max="6616" width="8.140625" bestFit="1" customWidth="1"/>
    <col min="6617" max="6617" width="4.5703125" bestFit="1" customWidth="1"/>
    <col min="6618" max="6618" width="57.5703125" customWidth="1"/>
    <col min="6619" max="6619" width="14.28515625" customWidth="1"/>
    <col min="6620" max="6620" width="0.85546875" customWidth="1"/>
    <col min="6621" max="6621" width="16.5703125" bestFit="1" customWidth="1"/>
    <col min="6622" max="6622" width="13.42578125" bestFit="1" customWidth="1"/>
    <col min="6869" max="6869" width="4.85546875" bestFit="1" customWidth="1"/>
    <col min="6870" max="6870" width="5.85546875" bestFit="1" customWidth="1"/>
    <col min="6871" max="6871" width="7.42578125" bestFit="1" customWidth="1"/>
    <col min="6872" max="6872" width="8.140625" bestFit="1" customWidth="1"/>
    <col min="6873" max="6873" width="4.5703125" bestFit="1" customWidth="1"/>
    <col min="6874" max="6874" width="57.5703125" customWidth="1"/>
    <col min="6875" max="6875" width="14.28515625" customWidth="1"/>
    <col min="6876" max="6876" width="0.85546875" customWidth="1"/>
    <col min="6877" max="6877" width="16.5703125" bestFit="1" customWidth="1"/>
    <col min="6878" max="6878" width="13.42578125" bestFit="1" customWidth="1"/>
    <col min="7125" max="7125" width="4.85546875" bestFit="1" customWidth="1"/>
    <col min="7126" max="7126" width="5.85546875" bestFit="1" customWidth="1"/>
    <col min="7127" max="7127" width="7.42578125" bestFit="1" customWidth="1"/>
    <col min="7128" max="7128" width="8.140625" bestFit="1" customWidth="1"/>
    <col min="7129" max="7129" width="4.5703125" bestFit="1" customWidth="1"/>
    <col min="7130" max="7130" width="57.5703125" customWidth="1"/>
    <col min="7131" max="7131" width="14.28515625" customWidth="1"/>
    <col min="7132" max="7132" width="0.85546875" customWidth="1"/>
    <col min="7133" max="7133" width="16.5703125" bestFit="1" customWidth="1"/>
    <col min="7134" max="7134" width="13.42578125" bestFit="1" customWidth="1"/>
    <col min="7381" max="7381" width="4.85546875" bestFit="1" customWidth="1"/>
    <col min="7382" max="7382" width="5.85546875" bestFit="1" customWidth="1"/>
    <col min="7383" max="7383" width="7.42578125" bestFit="1" customWidth="1"/>
    <col min="7384" max="7384" width="8.140625" bestFit="1" customWidth="1"/>
    <col min="7385" max="7385" width="4.5703125" bestFit="1" customWidth="1"/>
    <col min="7386" max="7386" width="57.5703125" customWidth="1"/>
    <col min="7387" max="7387" width="14.28515625" customWidth="1"/>
    <col min="7388" max="7388" width="0.85546875" customWidth="1"/>
    <col min="7389" max="7389" width="16.5703125" bestFit="1" customWidth="1"/>
    <col min="7390" max="7390" width="13.42578125" bestFit="1" customWidth="1"/>
    <col min="7637" max="7637" width="4.85546875" bestFit="1" customWidth="1"/>
    <col min="7638" max="7638" width="5.85546875" bestFit="1" customWidth="1"/>
    <col min="7639" max="7639" width="7.42578125" bestFit="1" customWidth="1"/>
    <col min="7640" max="7640" width="8.140625" bestFit="1" customWidth="1"/>
    <col min="7641" max="7641" width="4.5703125" bestFit="1" customWidth="1"/>
    <col min="7642" max="7642" width="57.5703125" customWidth="1"/>
    <col min="7643" max="7643" width="14.28515625" customWidth="1"/>
    <col min="7644" max="7644" width="0.85546875" customWidth="1"/>
    <col min="7645" max="7645" width="16.5703125" bestFit="1" customWidth="1"/>
    <col min="7646" max="7646" width="13.42578125" bestFit="1" customWidth="1"/>
    <col min="7893" max="7893" width="4.85546875" bestFit="1" customWidth="1"/>
    <col min="7894" max="7894" width="5.85546875" bestFit="1" customWidth="1"/>
    <col min="7895" max="7895" width="7.42578125" bestFit="1" customWidth="1"/>
    <col min="7896" max="7896" width="8.140625" bestFit="1" customWidth="1"/>
    <col min="7897" max="7897" width="4.5703125" bestFit="1" customWidth="1"/>
    <col min="7898" max="7898" width="57.5703125" customWidth="1"/>
    <col min="7899" max="7899" width="14.28515625" customWidth="1"/>
    <col min="7900" max="7900" width="0.85546875" customWidth="1"/>
    <col min="7901" max="7901" width="16.5703125" bestFit="1" customWidth="1"/>
    <col min="7902" max="7902" width="13.42578125" bestFit="1" customWidth="1"/>
    <col min="8149" max="8149" width="4.85546875" bestFit="1" customWidth="1"/>
    <col min="8150" max="8150" width="5.85546875" bestFit="1" customWidth="1"/>
    <col min="8151" max="8151" width="7.42578125" bestFit="1" customWidth="1"/>
    <col min="8152" max="8152" width="8.140625" bestFit="1" customWidth="1"/>
    <col min="8153" max="8153" width="4.5703125" bestFit="1" customWidth="1"/>
    <col min="8154" max="8154" width="57.5703125" customWidth="1"/>
    <col min="8155" max="8155" width="14.28515625" customWidth="1"/>
    <col min="8156" max="8156" width="0.85546875" customWidth="1"/>
    <col min="8157" max="8157" width="16.5703125" bestFit="1" customWidth="1"/>
    <col min="8158" max="8158" width="13.42578125" bestFit="1" customWidth="1"/>
    <col min="8405" max="8405" width="4.85546875" bestFit="1" customWidth="1"/>
    <col min="8406" max="8406" width="5.85546875" bestFit="1" customWidth="1"/>
    <col min="8407" max="8407" width="7.42578125" bestFit="1" customWidth="1"/>
    <col min="8408" max="8408" width="8.140625" bestFit="1" customWidth="1"/>
    <col min="8409" max="8409" width="4.5703125" bestFit="1" customWidth="1"/>
    <col min="8410" max="8410" width="57.5703125" customWidth="1"/>
    <col min="8411" max="8411" width="14.28515625" customWidth="1"/>
    <col min="8412" max="8412" width="0.85546875" customWidth="1"/>
    <col min="8413" max="8413" width="16.5703125" bestFit="1" customWidth="1"/>
    <col min="8414" max="8414" width="13.42578125" bestFit="1" customWidth="1"/>
    <col min="8661" max="8661" width="4.85546875" bestFit="1" customWidth="1"/>
    <col min="8662" max="8662" width="5.85546875" bestFit="1" customWidth="1"/>
    <col min="8663" max="8663" width="7.42578125" bestFit="1" customWidth="1"/>
    <col min="8664" max="8664" width="8.140625" bestFit="1" customWidth="1"/>
    <col min="8665" max="8665" width="4.5703125" bestFit="1" customWidth="1"/>
    <col min="8666" max="8666" width="57.5703125" customWidth="1"/>
    <col min="8667" max="8667" width="14.28515625" customWidth="1"/>
    <col min="8668" max="8668" width="0.85546875" customWidth="1"/>
    <col min="8669" max="8669" width="16.5703125" bestFit="1" customWidth="1"/>
    <col min="8670" max="8670" width="13.42578125" bestFit="1" customWidth="1"/>
    <col min="8917" max="8917" width="4.85546875" bestFit="1" customWidth="1"/>
    <col min="8918" max="8918" width="5.85546875" bestFit="1" customWidth="1"/>
    <col min="8919" max="8919" width="7.42578125" bestFit="1" customWidth="1"/>
    <col min="8920" max="8920" width="8.140625" bestFit="1" customWidth="1"/>
    <col min="8921" max="8921" width="4.5703125" bestFit="1" customWidth="1"/>
    <col min="8922" max="8922" width="57.5703125" customWidth="1"/>
    <col min="8923" max="8923" width="14.28515625" customWidth="1"/>
    <col min="8924" max="8924" width="0.85546875" customWidth="1"/>
    <col min="8925" max="8925" width="16.5703125" bestFit="1" customWidth="1"/>
    <col min="8926" max="8926" width="13.42578125" bestFit="1" customWidth="1"/>
    <col min="9173" max="9173" width="4.85546875" bestFit="1" customWidth="1"/>
    <col min="9174" max="9174" width="5.85546875" bestFit="1" customWidth="1"/>
    <col min="9175" max="9175" width="7.42578125" bestFit="1" customWidth="1"/>
    <col min="9176" max="9176" width="8.140625" bestFit="1" customWidth="1"/>
    <col min="9177" max="9177" width="4.5703125" bestFit="1" customWidth="1"/>
    <col min="9178" max="9178" width="57.5703125" customWidth="1"/>
    <col min="9179" max="9179" width="14.28515625" customWidth="1"/>
    <col min="9180" max="9180" width="0.85546875" customWidth="1"/>
    <col min="9181" max="9181" width="16.5703125" bestFit="1" customWidth="1"/>
    <col min="9182" max="9182" width="13.42578125" bestFit="1" customWidth="1"/>
    <col min="9429" max="9429" width="4.85546875" bestFit="1" customWidth="1"/>
    <col min="9430" max="9430" width="5.85546875" bestFit="1" customWidth="1"/>
    <col min="9431" max="9431" width="7.42578125" bestFit="1" customWidth="1"/>
    <col min="9432" max="9432" width="8.140625" bestFit="1" customWidth="1"/>
    <col min="9433" max="9433" width="4.5703125" bestFit="1" customWidth="1"/>
    <col min="9434" max="9434" width="57.5703125" customWidth="1"/>
    <col min="9435" max="9435" width="14.28515625" customWidth="1"/>
    <col min="9436" max="9436" width="0.85546875" customWidth="1"/>
    <col min="9437" max="9437" width="16.5703125" bestFit="1" customWidth="1"/>
    <col min="9438" max="9438" width="13.42578125" bestFit="1" customWidth="1"/>
    <col min="9685" max="9685" width="4.85546875" bestFit="1" customWidth="1"/>
    <col min="9686" max="9686" width="5.85546875" bestFit="1" customWidth="1"/>
    <col min="9687" max="9687" width="7.42578125" bestFit="1" customWidth="1"/>
    <col min="9688" max="9688" width="8.140625" bestFit="1" customWidth="1"/>
    <col min="9689" max="9689" width="4.5703125" bestFit="1" customWidth="1"/>
    <col min="9690" max="9690" width="57.5703125" customWidth="1"/>
    <col min="9691" max="9691" width="14.28515625" customWidth="1"/>
    <col min="9692" max="9692" width="0.85546875" customWidth="1"/>
    <col min="9693" max="9693" width="16.5703125" bestFit="1" customWidth="1"/>
    <col min="9694" max="9694" width="13.42578125" bestFit="1" customWidth="1"/>
    <col min="9941" max="9941" width="4.85546875" bestFit="1" customWidth="1"/>
    <col min="9942" max="9942" width="5.85546875" bestFit="1" customWidth="1"/>
    <col min="9943" max="9943" width="7.42578125" bestFit="1" customWidth="1"/>
    <col min="9944" max="9944" width="8.140625" bestFit="1" customWidth="1"/>
    <col min="9945" max="9945" width="4.5703125" bestFit="1" customWidth="1"/>
    <col min="9946" max="9946" width="57.5703125" customWidth="1"/>
    <col min="9947" max="9947" width="14.28515625" customWidth="1"/>
    <col min="9948" max="9948" width="0.85546875" customWidth="1"/>
    <col min="9949" max="9949" width="16.5703125" bestFit="1" customWidth="1"/>
    <col min="9950" max="9950" width="13.42578125" bestFit="1" customWidth="1"/>
    <col min="10197" max="10197" width="4.85546875" bestFit="1" customWidth="1"/>
    <col min="10198" max="10198" width="5.85546875" bestFit="1" customWidth="1"/>
    <col min="10199" max="10199" width="7.42578125" bestFit="1" customWidth="1"/>
    <col min="10200" max="10200" width="8.140625" bestFit="1" customWidth="1"/>
    <col min="10201" max="10201" width="4.5703125" bestFit="1" customWidth="1"/>
    <col min="10202" max="10202" width="57.5703125" customWidth="1"/>
    <col min="10203" max="10203" width="14.28515625" customWidth="1"/>
    <col min="10204" max="10204" width="0.85546875" customWidth="1"/>
    <col min="10205" max="10205" width="16.5703125" bestFit="1" customWidth="1"/>
    <col min="10206" max="10206" width="13.42578125" bestFit="1" customWidth="1"/>
    <col min="10453" max="10453" width="4.85546875" bestFit="1" customWidth="1"/>
    <col min="10454" max="10454" width="5.85546875" bestFit="1" customWidth="1"/>
    <col min="10455" max="10455" width="7.42578125" bestFit="1" customWidth="1"/>
    <col min="10456" max="10456" width="8.140625" bestFit="1" customWidth="1"/>
    <col min="10457" max="10457" width="4.5703125" bestFit="1" customWidth="1"/>
    <col min="10458" max="10458" width="57.5703125" customWidth="1"/>
    <col min="10459" max="10459" width="14.28515625" customWidth="1"/>
    <col min="10460" max="10460" width="0.85546875" customWidth="1"/>
    <col min="10461" max="10461" width="16.5703125" bestFit="1" customWidth="1"/>
    <col min="10462" max="10462" width="13.42578125" bestFit="1" customWidth="1"/>
    <col min="10709" max="10709" width="4.85546875" bestFit="1" customWidth="1"/>
    <col min="10710" max="10710" width="5.85546875" bestFit="1" customWidth="1"/>
    <col min="10711" max="10711" width="7.42578125" bestFit="1" customWidth="1"/>
    <col min="10712" max="10712" width="8.140625" bestFit="1" customWidth="1"/>
    <col min="10713" max="10713" width="4.5703125" bestFit="1" customWidth="1"/>
    <col min="10714" max="10714" width="57.5703125" customWidth="1"/>
    <col min="10715" max="10715" width="14.28515625" customWidth="1"/>
    <col min="10716" max="10716" width="0.85546875" customWidth="1"/>
    <col min="10717" max="10717" width="16.5703125" bestFit="1" customWidth="1"/>
    <col min="10718" max="10718" width="13.42578125" bestFit="1" customWidth="1"/>
    <col min="10965" max="10965" width="4.85546875" bestFit="1" customWidth="1"/>
    <col min="10966" max="10966" width="5.85546875" bestFit="1" customWidth="1"/>
    <col min="10967" max="10967" width="7.42578125" bestFit="1" customWidth="1"/>
    <col min="10968" max="10968" width="8.140625" bestFit="1" customWidth="1"/>
    <col min="10969" max="10969" width="4.5703125" bestFit="1" customWidth="1"/>
    <col min="10970" max="10970" width="57.5703125" customWidth="1"/>
    <col min="10971" max="10971" width="14.28515625" customWidth="1"/>
    <col min="10972" max="10972" width="0.85546875" customWidth="1"/>
    <col min="10973" max="10973" width="16.5703125" bestFit="1" customWidth="1"/>
    <col min="10974" max="10974" width="13.42578125" bestFit="1" customWidth="1"/>
    <col min="11221" max="11221" width="4.85546875" bestFit="1" customWidth="1"/>
    <col min="11222" max="11222" width="5.85546875" bestFit="1" customWidth="1"/>
    <col min="11223" max="11223" width="7.42578125" bestFit="1" customWidth="1"/>
    <col min="11224" max="11224" width="8.140625" bestFit="1" customWidth="1"/>
    <col min="11225" max="11225" width="4.5703125" bestFit="1" customWidth="1"/>
    <col min="11226" max="11226" width="57.5703125" customWidth="1"/>
    <col min="11227" max="11227" width="14.28515625" customWidth="1"/>
    <col min="11228" max="11228" width="0.85546875" customWidth="1"/>
    <col min="11229" max="11229" width="16.5703125" bestFit="1" customWidth="1"/>
    <col min="11230" max="11230" width="13.42578125" bestFit="1" customWidth="1"/>
    <col min="11477" max="11477" width="4.85546875" bestFit="1" customWidth="1"/>
    <col min="11478" max="11478" width="5.85546875" bestFit="1" customWidth="1"/>
    <col min="11479" max="11479" width="7.42578125" bestFit="1" customWidth="1"/>
    <col min="11480" max="11480" width="8.140625" bestFit="1" customWidth="1"/>
    <col min="11481" max="11481" width="4.5703125" bestFit="1" customWidth="1"/>
    <col min="11482" max="11482" width="57.5703125" customWidth="1"/>
    <col min="11483" max="11483" width="14.28515625" customWidth="1"/>
    <col min="11484" max="11484" width="0.85546875" customWidth="1"/>
    <col min="11485" max="11485" width="16.5703125" bestFit="1" customWidth="1"/>
    <col min="11486" max="11486" width="13.42578125" bestFit="1" customWidth="1"/>
    <col min="11733" max="11733" width="4.85546875" bestFit="1" customWidth="1"/>
    <col min="11734" max="11734" width="5.85546875" bestFit="1" customWidth="1"/>
    <col min="11735" max="11735" width="7.42578125" bestFit="1" customWidth="1"/>
    <col min="11736" max="11736" width="8.140625" bestFit="1" customWidth="1"/>
    <col min="11737" max="11737" width="4.5703125" bestFit="1" customWidth="1"/>
    <col min="11738" max="11738" width="57.5703125" customWidth="1"/>
    <col min="11739" max="11739" width="14.28515625" customWidth="1"/>
    <col min="11740" max="11740" width="0.85546875" customWidth="1"/>
    <col min="11741" max="11741" width="16.5703125" bestFit="1" customWidth="1"/>
    <col min="11742" max="11742" width="13.42578125" bestFit="1" customWidth="1"/>
    <col min="11989" max="11989" width="4.85546875" bestFit="1" customWidth="1"/>
    <col min="11990" max="11990" width="5.85546875" bestFit="1" customWidth="1"/>
    <col min="11991" max="11991" width="7.42578125" bestFit="1" customWidth="1"/>
    <col min="11992" max="11992" width="8.140625" bestFit="1" customWidth="1"/>
    <col min="11993" max="11993" width="4.5703125" bestFit="1" customWidth="1"/>
    <col min="11994" max="11994" width="57.5703125" customWidth="1"/>
    <col min="11995" max="11995" width="14.28515625" customWidth="1"/>
    <col min="11996" max="11996" width="0.85546875" customWidth="1"/>
    <col min="11997" max="11997" width="16.5703125" bestFit="1" customWidth="1"/>
    <col min="11998" max="11998" width="13.42578125" bestFit="1" customWidth="1"/>
    <col min="12245" max="12245" width="4.85546875" bestFit="1" customWidth="1"/>
    <col min="12246" max="12246" width="5.85546875" bestFit="1" customWidth="1"/>
    <col min="12247" max="12247" width="7.42578125" bestFit="1" customWidth="1"/>
    <col min="12248" max="12248" width="8.140625" bestFit="1" customWidth="1"/>
    <col min="12249" max="12249" width="4.5703125" bestFit="1" customWidth="1"/>
    <col min="12250" max="12250" width="57.5703125" customWidth="1"/>
    <col min="12251" max="12251" width="14.28515625" customWidth="1"/>
    <col min="12252" max="12252" width="0.85546875" customWidth="1"/>
    <col min="12253" max="12253" width="16.5703125" bestFit="1" customWidth="1"/>
    <col min="12254" max="12254" width="13.42578125" bestFit="1" customWidth="1"/>
    <col min="12501" max="12501" width="4.85546875" bestFit="1" customWidth="1"/>
    <col min="12502" max="12502" width="5.85546875" bestFit="1" customWidth="1"/>
    <col min="12503" max="12503" width="7.42578125" bestFit="1" customWidth="1"/>
    <col min="12504" max="12504" width="8.140625" bestFit="1" customWidth="1"/>
    <col min="12505" max="12505" width="4.5703125" bestFit="1" customWidth="1"/>
    <col min="12506" max="12506" width="57.5703125" customWidth="1"/>
    <col min="12507" max="12507" width="14.28515625" customWidth="1"/>
    <col min="12508" max="12508" width="0.85546875" customWidth="1"/>
    <col min="12509" max="12509" width="16.5703125" bestFit="1" customWidth="1"/>
    <col min="12510" max="12510" width="13.42578125" bestFit="1" customWidth="1"/>
    <col min="12757" max="12757" width="4.85546875" bestFit="1" customWidth="1"/>
    <col min="12758" max="12758" width="5.85546875" bestFit="1" customWidth="1"/>
    <col min="12759" max="12759" width="7.42578125" bestFit="1" customWidth="1"/>
    <col min="12760" max="12760" width="8.140625" bestFit="1" customWidth="1"/>
    <col min="12761" max="12761" width="4.5703125" bestFit="1" customWidth="1"/>
    <col min="12762" max="12762" width="57.5703125" customWidth="1"/>
    <col min="12763" max="12763" width="14.28515625" customWidth="1"/>
    <col min="12764" max="12764" width="0.85546875" customWidth="1"/>
    <col min="12765" max="12765" width="16.5703125" bestFit="1" customWidth="1"/>
    <col min="12766" max="12766" width="13.42578125" bestFit="1" customWidth="1"/>
    <col min="13013" max="13013" width="4.85546875" bestFit="1" customWidth="1"/>
    <col min="13014" max="13014" width="5.85546875" bestFit="1" customWidth="1"/>
    <col min="13015" max="13015" width="7.42578125" bestFit="1" customWidth="1"/>
    <col min="13016" max="13016" width="8.140625" bestFit="1" customWidth="1"/>
    <col min="13017" max="13017" width="4.5703125" bestFit="1" customWidth="1"/>
    <col min="13018" max="13018" width="57.5703125" customWidth="1"/>
    <col min="13019" max="13019" width="14.28515625" customWidth="1"/>
    <col min="13020" max="13020" width="0.85546875" customWidth="1"/>
    <col min="13021" max="13021" width="16.5703125" bestFit="1" customWidth="1"/>
    <col min="13022" max="13022" width="13.42578125" bestFit="1" customWidth="1"/>
    <col min="13269" max="13269" width="4.85546875" bestFit="1" customWidth="1"/>
    <col min="13270" max="13270" width="5.85546875" bestFit="1" customWidth="1"/>
    <col min="13271" max="13271" width="7.42578125" bestFit="1" customWidth="1"/>
    <col min="13272" max="13272" width="8.140625" bestFit="1" customWidth="1"/>
    <col min="13273" max="13273" width="4.5703125" bestFit="1" customWidth="1"/>
    <col min="13274" max="13274" width="57.5703125" customWidth="1"/>
    <col min="13275" max="13275" width="14.28515625" customWidth="1"/>
    <col min="13276" max="13276" width="0.85546875" customWidth="1"/>
    <col min="13277" max="13277" width="16.5703125" bestFit="1" customWidth="1"/>
    <col min="13278" max="13278" width="13.42578125" bestFit="1" customWidth="1"/>
    <col min="13525" max="13525" width="4.85546875" bestFit="1" customWidth="1"/>
    <col min="13526" max="13526" width="5.85546875" bestFit="1" customWidth="1"/>
    <col min="13527" max="13527" width="7.42578125" bestFit="1" customWidth="1"/>
    <col min="13528" max="13528" width="8.140625" bestFit="1" customWidth="1"/>
    <col min="13529" max="13529" width="4.5703125" bestFit="1" customWidth="1"/>
    <col min="13530" max="13530" width="57.5703125" customWidth="1"/>
    <col min="13531" max="13531" width="14.28515625" customWidth="1"/>
    <col min="13532" max="13532" width="0.85546875" customWidth="1"/>
    <col min="13533" max="13533" width="16.5703125" bestFit="1" customWidth="1"/>
    <col min="13534" max="13534" width="13.42578125" bestFit="1" customWidth="1"/>
    <col min="13781" max="13781" width="4.85546875" bestFit="1" customWidth="1"/>
    <col min="13782" max="13782" width="5.85546875" bestFit="1" customWidth="1"/>
    <col min="13783" max="13783" width="7.42578125" bestFit="1" customWidth="1"/>
    <col min="13784" max="13784" width="8.140625" bestFit="1" customWidth="1"/>
    <col min="13785" max="13785" width="4.5703125" bestFit="1" customWidth="1"/>
    <col min="13786" max="13786" width="57.5703125" customWidth="1"/>
    <col min="13787" max="13787" width="14.28515625" customWidth="1"/>
    <col min="13788" max="13788" width="0.85546875" customWidth="1"/>
    <col min="13789" max="13789" width="16.5703125" bestFit="1" customWidth="1"/>
    <col min="13790" max="13790" width="13.42578125" bestFit="1" customWidth="1"/>
    <col min="14037" max="14037" width="4.85546875" bestFit="1" customWidth="1"/>
    <col min="14038" max="14038" width="5.85546875" bestFit="1" customWidth="1"/>
    <col min="14039" max="14039" width="7.42578125" bestFit="1" customWidth="1"/>
    <col min="14040" max="14040" width="8.140625" bestFit="1" customWidth="1"/>
    <col min="14041" max="14041" width="4.5703125" bestFit="1" customWidth="1"/>
    <col min="14042" max="14042" width="57.5703125" customWidth="1"/>
    <col min="14043" max="14043" width="14.28515625" customWidth="1"/>
    <col min="14044" max="14044" width="0.85546875" customWidth="1"/>
    <col min="14045" max="14045" width="16.5703125" bestFit="1" customWidth="1"/>
    <col min="14046" max="14046" width="13.42578125" bestFit="1" customWidth="1"/>
    <col min="14293" max="14293" width="4.85546875" bestFit="1" customWidth="1"/>
    <col min="14294" max="14294" width="5.85546875" bestFit="1" customWidth="1"/>
    <col min="14295" max="14295" width="7.42578125" bestFit="1" customWidth="1"/>
    <col min="14296" max="14296" width="8.140625" bestFit="1" customWidth="1"/>
    <col min="14297" max="14297" width="4.5703125" bestFit="1" customWidth="1"/>
    <col min="14298" max="14298" width="57.5703125" customWidth="1"/>
    <col min="14299" max="14299" width="14.28515625" customWidth="1"/>
    <col min="14300" max="14300" width="0.85546875" customWidth="1"/>
    <col min="14301" max="14301" width="16.5703125" bestFit="1" customWidth="1"/>
    <col min="14302" max="14302" width="13.42578125" bestFit="1" customWidth="1"/>
    <col min="14549" max="14549" width="4.85546875" bestFit="1" customWidth="1"/>
    <col min="14550" max="14550" width="5.85546875" bestFit="1" customWidth="1"/>
    <col min="14551" max="14551" width="7.42578125" bestFit="1" customWidth="1"/>
    <col min="14552" max="14552" width="8.140625" bestFit="1" customWidth="1"/>
    <col min="14553" max="14553" width="4.5703125" bestFit="1" customWidth="1"/>
    <col min="14554" max="14554" width="57.5703125" customWidth="1"/>
    <col min="14555" max="14555" width="14.28515625" customWidth="1"/>
    <col min="14556" max="14556" width="0.85546875" customWidth="1"/>
    <col min="14557" max="14557" width="16.5703125" bestFit="1" customWidth="1"/>
    <col min="14558" max="14558" width="13.42578125" bestFit="1" customWidth="1"/>
    <col min="14805" max="14805" width="4.85546875" bestFit="1" customWidth="1"/>
    <col min="14806" max="14806" width="5.85546875" bestFit="1" customWidth="1"/>
    <col min="14807" max="14807" width="7.42578125" bestFit="1" customWidth="1"/>
    <col min="14808" max="14808" width="8.140625" bestFit="1" customWidth="1"/>
    <col min="14809" max="14809" width="4.5703125" bestFit="1" customWidth="1"/>
    <col min="14810" max="14810" width="57.5703125" customWidth="1"/>
    <col min="14811" max="14811" width="14.28515625" customWidth="1"/>
    <col min="14812" max="14812" width="0.85546875" customWidth="1"/>
    <col min="14813" max="14813" width="16.5703125" bestFit="1" customWidth="1"/>
    <col min="14814" max="14814" width="13.42578125" bestFit="1" customWidth="1"/>
    <col min="15061" max="15061" width="4.85546875" bestFit="1" customWidth="1"/>
    <col min="15062" max="15062" width="5.85546875" bestFit="1" customWidth="1"/>
    <col min="15063" max="15063" width="7.42578125" bestFit="1" customWidth="1"/>
    <col min="15064" max="15064" width="8.140625" bestFit="1" customWidth="1"/>
    <col min="15065" max="15065" width="4.5703125" bestFit="1" customWidth="1"/>
    <col min="15066" max="15066" width="57.5703125" customWidth="1"/>
    <col min="15067" max="15067" width="14.28515625" customWidth="1"/>
    <col min="15068" max="15068" width="0.85546875" customWidth="1"/>
    <col min="15069" max="15069" width="16.5703125" bestFit="1" customWidth="1"/>
    <col min="15070" max="15070" width="13.42578125" bestFit="1" customWidth="1"/>
    <col min="15317" max="15317" width="4.85546875" bestFit="1" customWidth="1"/>
    <col min="15318" max="15318" width="5.85546875" bestFit="1" customWidth="1"/>
    <col min="15319" max="15319" width="7.42578125" bestFit="1" customWidth="1"/>
    <col min="15320" max="15320" width="8.140625" bestFit="1" customWidth="1"/>
    <col min="15321" max="15321" width="4.5703125" bestFit="1" customWidth="1"/>
    <col min="15322" max="15322" width="57.5703125" customWidth="1"/>
    <col min="15323" max="15323" width="14.28515625" customWidth="1"/>
    <col min="15324" max="15324" width="0.85546875" customWidth="1"/>
    <col min="15325" max="15325" width="16.5703125" bestFit="1" customWidth="1"/>
    <col min="15326" max="15326" width="13.42578125" bestFit="1" customWidth="1"/>
    <col min="15573" max="15573" width="4.85546875" bestFit="1" customWidth="1"/>
    <col min="15574" max="15574" width="5.85546875" bestFit="1" customWidth="1"/>
    <col min="15575" max="15575" width="7.42578125" bestFit="1" customWidth="1"/>
    <col min="15576" max="15576" width="8.140625" bestFit="1" customWidth="1"/>
    <col min="15577" max="15577" width="4.5703125" bestFit="1" customWidth="1"/>
    <col min="15578" max="15578" width="57.5703125" customWidth="1"/>
    <col min="15579" max="15579" width="14.28515625" customWidth="1"/>
    <col min="15580" max="15580" width="0.85546875" customWidth="1"/>
    <col min="15581" max="15581" width="16.5703125" bestFit="1" customWidth="1"/>
    <col min="15582" max="15582" width="13.42578125" bestFit="1" customWidth="1"/>
    <col min="15829" max="15829" width="4.85546875" bestFit="1" customWidth="1"/>
    <col min="15830" max="15830" width="5.85546875" bestFit="1" customWidth="1"/>
    <col min="15831" max="15831" width="7.42578125" bestFit="1" customWidth="1"/>
    <col min="15832" max="15832" width="8.140625" bestFit="1" customWidth="1"/>
    <col min="15833" max="15833" width="4.5703125" bestFit="1" customWidth="1"/>
    <col min="15834" max="15834" width="57.5703125" customWidth="1"/>
    <col min="15835" max="15835" width="14.28515625" customWidth="1"/>
    <col min="15836" max="15836" width="0.85546875" customWidth="1"/>
    <col min="15837" max="15837" width="16.5703125" bestFit="1" customWidth="1"/>
    <col min="15838" max="15838" width="13.42578125" bestFit="1" customWidth="1"/>
    <col min="16085" max="16085" width="4.85546875" bestFit="1" customWidth="1"/>
    <col min="16086" max="16086" width="5.85546875" bestFit="1" customWidth="1"/>
    <col min="16087" max="16087" width="7.42578125" bestFit="1" customWidth="1"/>
    <col min="16088" max="16088" width="8.140625" bestFit="1" customWidth="1"/>
    <col min="16089" max="16089" width="4.5703125" bestFit="1" customWidth="1"/>
    <col min="16090" max="16090" width="57.5703125" customWidth="1"/>
    <col min="16091" max="16091" width="14.28515625" customWidth="1"/>
    <col min="16092" max="16092" width="0.85546875" customWidth="1"/>
    <col min="16093" max="16093" width="16.5703125" bestFit="1" customWidth="1"/>
    <col min="16094" max="16094" width="13.42578125" bestFit="1" customWidth="1"/>
  </cols>
  <sheetData>
    <row r="1" spans="1:20">
      <c r="A1" s="38"/>
      <c r="B1" s="38"/>
      <c r="C1" s="38"/>
      <c r="D1" s="38"/>
      <c r="E1" s="38"/>
      <c r="F1" s="38"/>
      <c r="G1" s="38"/>
      <c r="H1" s="39"/>
      <c r="I1" s="7"/>
    </row>
    <row r="2" spans="1:20">
      <c r="A2" s="38"/>
      <c r="B2" s="38"/>
      <c r="C2" s="38"/>
      <c r="D2" s="38"/>
      <c r="E2" s="38"/>
      <c r="F2" s="38"/>
      <c r="G2" s="38"/>
      <c r="H2" s="39"/>
      <c r="I2" s="7"/>
    </row>
    <row r="3" spans="1:20">
      <c r="A3" s="38"/>
      <c r="B3" s="38"/>
      <c r="C3" s="38"/>
      <c r="D3" s="38"/>
      <c r="E3" s="38"/>
      <c r="F3" s="38"/>
      <c r="G3" s="38"/>
      <c r="H3" s="39"/>
      <c r="I3" s="7"/>
    </row>
    <row r="4" spans="1:20">
      <c r="A4" s="38"/>
      <c r="B4" s="38"/>
      <c r="C4" s="38"/>
      <c r="D4" s="38"/>
      <c r="E4" s="38"/>
      <c r="F4" s="38"/>
      <c r="G4" s="38"/>
      <c r="H4" s="39"/>
      <c r="I4" s="7"/>
    </row>
    <row r="5" spans="1:20" s="43" customFormat="1" ht="20.25">
      <c r="A5" s="40"/>
      <c r="B5" s="40"/>
      <c r="C5" s="40"/>
      <c r="D5" s="40"/>
      <c r="E5" s="40"/>
      <c r="F5" s="40"/>
      <c r="G5" s="40"/>
      <c r="H5" s="40"/>
      <c r="I5" s="41"/>
      <c r="J5" s="40" t="s">
        <v>124</v>
      </c>
      <c r="K5" s="40"/>
      <c r="L5" s="40"/>
      <c r="M5" s="40"/>
      <c r="N5" s="40"/>
      <c r="O5" s="40"/>
      <c r="P5" s="40"/>
      <c r="Q5" s="40"/>
      <c r="R5" s="42"/>
    </row>
    <row r="6" spans="1:20" s="45" customFormat="1" ht="20.25">
      <c r="A6" s="40"/>
      <c r="B6" s="40"/>
      <c r="C6" s="40"/>
      <c r="D6" s="40"/>
      <c r="E6" s="40"/>
      <c r="F6" s="40"/>
      <c r="G6" s="40"/>
      <c r="H6" s="40"/>
      <c r="I6" s="44"/>
      <c r="J6" s="40" t="s">
        <v>125</v>
      </c>
      <c r="K6" s="40"/>
      <c r="L6" s="40"/>
      <c r="M6" s="40"/>
      <c r="N6" s="40"/>
      <c r="O6" s="40"/>
      <c r="P6" s="40"/>
      <c r="Q6" s="40"/>
      <c r="R6" s="42"/>
    </row>
    <row r="7" spans="1:20" s="45" customFormat="1" ht="20.25">
      <c r="A7" s="40"/>
      <c r="B7" s="40"/>
      <c r="C7" s="40"/>
      <c r="D7" s="40"/>
      <c r="E7" s="40"/>
      <c r="F7" s="40"/>
      <c r="G7" s="40"/>
      <c r="H7" s="40"/>
      <c r="I7" s="44"/>
      <c r="J7" s="40" t="s">
        <v>126</v>
      </c>
      <c r="K7" s="40"/>
      <c r="L7" s="40"/>
      <c r="M7" s="40"/>
      <c r="N7" s="40"/>
      <c r="O7" s="40"/>
      <c r="P7" s="40"/>
      <c r="Q7" s="40"/>
      <c r="R7" s="42"/>
    </row>
    <row r="8" spans="1:20" s="49" customFormat="1" ht="18.75" customHeight="1" thickBot="1">
      <c r="A8" s="46"/>
      <c r="B8" s="46"/>
      <c r="C8" s="46"/>
      <c r="D8" s="46"/>
      <c r="E8" s="46"/>
      <c r="F8" s="47"/>
      <c r="G8" s="47"/>
      <c r="H8" s="48"/>
      <c r="I8" s="8"/>
    </row>
    <row r="9" spans="1:20" ht="0.75" customHeight="1" thickBot="1">
      <c r="A9" s="50"/>
      <c r="B9" s="50"/>
      <c r="C9" s="51"/>
      <c r="D9" s="51"/>
      <c r="E9" s="52"/>
      <c r="F9" s="53"/>
      <c r="G9" s="54" t="s">
        <v>127</v>
      </c>
      <c r="H9" s="55" t="s">
        <v>128</v>
      </c>
      <c r="I9" s="17" t="s">
        <v>123</v>
      </c>
      <c r="J9" s="55" t="s">
        <v>129</v>
      </c>
      <c r="K9" s="55" t="s">
        <v>130</v>
      </c>
      <c r="L9" s="55" t="s">
        <v>131</v>
      </c>
      <c r="M9" s="55" t="s">
        <v>132</v>
      </c>
      <c r="N9" s="55" t="s">
        <v>133</v>
      </c>
      <c r="O9" s="55" t="s">
        <v>134</v>
      </c>
      <c r="P9" s="55" t="s">
        <v>135</v>
      </c>
      <c r="Q9" s="55" t="s">
        <v>136</v>
      </c>
      <c r="R9" s="55" t="s">
        <v>137</v>
      </c>
      <c r="S9" s="56" t="s">
        <v>116</v>
      </c>
      <c r="T9" s="57" t="s">
        <v>123</v>
      </c>
    </row>
    <row r="10" spans="1:20" ht="49.5" customHeight="1" thickBot="1">
      <c r="A10" s="58" t="s">
        <v>0</v>
      </c>
      <c r="B10" s="54" t="s">
        <v>114</v>
      </c>
      <c r="C10" s="59" t="s">
        <v>1</v>
      </c>
      <c r="D10" s="54" t="s">
        <v>2</v>
      </c>
      <c r="E10" s="54" t="s">
        <v>3</v>
      </c>
      <c r="F10" s="50" t="s">
        <v>4</v>
      </c>
      <c r="G10" s="60" t="s">
        <v>5</v>
      </c>
      <c r="H10" s="61" t="s">
        <v>5</v>
      </c>
      <c r="I10" s="18" t="s">
        <v>5</v>
      </c>
      <c r="J10" s="61" t="s">
        <v>5</v>
      </c>
      <c r="K10" s="61" t="s">
        <v>5</v>
      </c>
      <c r="L10" s="61" t="s">
        <v>5</v>
      </c>
      <c r="M10" s="61" t="s">
        <v>5</v>
      </c>
      <c r="N10" s="61" t="s">
        <v>5</v>
      </c>
      <c r="O10" s="61" t="s">
        <v>5</v>
      </c>
      <c r="P10" s="61" t="s">
        <v>5</v>
      </c>
      <c r="Q10" s="61" t="s">
        <v>5</v>
      </c>
      <c r="R10" s="61" t="s">
        <v>5</v>
      </c>
      <c r="S10" s="61" t="s">
        <v>5</v>
      </c>
      <c r="T10" s="62" t="s">
        <v>5</v>
      </c>
    </row>
    <row r="11" spans="1:20" ht="15.75">
      <c r="A11" s="63"/>
      <c r="B11" s="64"/>
      <c r="C11" s="65"/>
      <c r="D11" s="66"/>
      <c r="E11" s="67"/>
      <c r="F11" s="68"/>
      <c r="G11" s="69"/>
      <c r="H11" s="70"/>
      <c r="I11" s="19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1"/>
    </row>
    <row r="12" spans="1:20" ht="16.5" thickBot="1">
      <c r="A12" s="64">
        <v>2</v>
      </c>
      <c r="B12" s="64">
        <v>1</v>
      </c>
      <c r="C12" s="72"/>
      <c r="D12" s="64"/>
      <c r="E12" s="73"/>
      <c r="F12" s="74" t="s">
        <v>6</v>
      </c>
      <c r="G12" s="75">
        <f>G13+G31+G42+G47-1</f>
        <v>26426720</v>
      </c>
      <c r="H12" s="76">
        <f t="shared" ref="H12:P12" si="0">H13+H31+H42+H47</f>
        <v>1661145.73</v>
      </c>
      <c r="I12" s="20" t="e">
        <f t="shared" si="0"/>
        <v>#REF!</v>
      </c>
      <c r="J12" s="76">
        <f t="shared" si="0"/>
        <v>1673803.74</v>
      </c>
      <c r="K12" s="76">
        <f t="shared" si="0"/>
        <v>1673803.74</v>
      </c>
      <c r="L12" s="76">
        <f t="shared" si="0"/>
        <v>1667742.0209999999</v>
      </c>
      <c r="M12" s="76">
        <f t="shared" si="0"/>
        <v>1673803.74</v>
      </c>
      <c r="N12" s="76">
        <f t="shared" si="0"/>
        <v>1716335.74</v>
      </c>
      <c r="O12" s="76">
        <f t="shared" si="0"/>
        <v>1673803.74</v>
      </c>
      <c r="P12" s="76">
        <f t="shared" si="0"/>
        <v>2738867.99</v>
      </c>
      <c r="Q12" s="76">
        <f>Q13+Q31+Q42+Q47</f>
        <v>2548633.7400000002</v>
      </c>
      <c r="R12" s="76">
        <f>R13+R31+R42+R47</f>
        <v>1821304.08</v>
      </c>
      <c r="S12" s="76">
        <f>S13+S31+S42+S47</f>
        <v>18849244.261</v>
      </c>
      <c r="T12" s="77">
        <f>T13+T31+T42+T47</f>
        <v>7577476.7390000001</v>
      </c>
    </row>
    <row r="13" spans="1:20" ht="16.5" thickBot="1">
      <c r="A13" s="64">
        <v>2</v>
      </c>
      <c r="B13" s="64">
        <v>1</v>
      </c>
      <c r="C13" s="72">
        <v>1</v>
      </c>
      <c r="D13" s="64"/>
      <c r="E13" s="73"/>
      <c r="F13" s="74" t="s">
        <v>7</v>
      </c>
      <c r="G13" s="78">
        <f>G14+G17+G22+G25</f>
        <v>21231968</v>
      </c>
      <c r="H13" s="78">
        <f>H14+H17+H22+H25</f>
        <v>1454830</v>
      </c>
      <c r="I13" s="21" t="e">
        <f t="shared" ref="I13:T13" si="1">I14+I17+I22+I25</f>
        <v>#REF!</v>
      </c>
      <c r="J13" s="78">
        <f t="shared" si="1"/>
        <v>1464830</v>
      </c>
      <c r="K13" s="78">
        <f t="shared" si="1"/>
        <v>1464830</v>
      </c>
      <c r="L13" s="78">
        <f t="shared" si="1"/>
        <v>1464830</v>
      </c>
      <c r="M13" s="78">
        <f t="shared" si="1"/>
        <v>1464830</v>
      </c>
      <c r="N13" s="78">
        <f t="shared" si="1"/>
        <v>1507362</v>
      </c>
      <c r="O13" s="78">
        <f t="shared" si="1"/>
        <v>1464830</v>
      </c>
      <c r="P13" s="78">
        <f t="shared" si="1"/>
        <v>1464830</v>
      </c>
      <c r="Q13" s="78">
        <f>Q14+Q17+Q22+Q25</f>
        <v>1464830</v>
      </c>
      <c r="R13" s="78">
        <f>R14+R17+R22+R25</f>
        <v>1511668.71</v>
      </c>
      <c r="S13" s="78">
        <f t="shared" si="1"/>
        <v>14727670.710000001</v>
      </c>
      <c r="T13" s="79">
        <f t="shared" si="1"/>
        <v>6504297.29</v>
      </c>
    </row>
    <row r="14" spans="1:20" ht="32.25" thickBot="1">
      <c r="A14" s="64">
        <v>2</v>
      </c>
      <c r="B14" s="64">
        <v>1</v>
      </c>
      <c r="C14" s="72">
        <v>1</v>
      </c>
      <c r="D14" s="64">
        <v>1</v>
      </c>
      <c r="E14" s="73"/>
      <c r="F14" s="74" t="s">
        <v>8</v>
      </c>
      <c r="G14" s="80">
        <f>G15</f>
        <v>6300000</v>
      </c>
      <c r="H14" s="81">
        <f>H15</f>
        <v>525000</v>
      </c>
      <c r="I14" s="22" t="e">
        <f t="shared" ref="I14:P14" si="2">I15</f>
        <v>#REF!</v>
      </c>
      <c r="J14" s="81">
        <f t="shared" si="2"/>
        <v>525000</v>
      </c>
      <c r="K14" s="81">
        <f t="shared" si="2"/>
        <v>525000</v>
      </c>
      <c r="L14" s="81">
        <f t="shared" si="2"/>
        <v>525000</v>
      </c>
      <c r="M14" s="81">
        <f t="shared" si="2"/>
        <v>525000</v>
      </c>
      <c r="N14" s="81">
        <f t="shared" si="2"/>
        <v>525000</v>
      </c>
      <c r="O14" s="81">
        <f t="shared" si="2"/>
        <v>525000</v>
      </c>
      <c r="P14" s="81">
        <f t="shared" si="2"/>
        <v>525000</v>
      </c>
      <c r="Q14" s="81">
        <f>Q15</f>
        <v>525000</v>
      </c>
      <c r="R14" s="81">
        <f>R15</f>
        <v>525000</v>
      </c>
      <c r="S14" s="81">
        <f>S15</f>
        <v>5250000</v>
      </c>
      <c r="T14" s="82">
        <f>T15</f>
        <v>1050000</v>
      </c>
    </row>
    <row r="15" spans="1:20" ht="15.75">
      <c r="A15" s="64">
        <v>2</v>
      </c>
      <c r="B15" s="64">
        <v>1</v>
      </c>
      <c r="C15" s="72">
        <v>1</v>
      </c>
      <c r="D15" s="64">
        <v>1</v>
      </c>
      <c r="E15" s="64">
        <v>1</v>
      </c>
      <c r="F15" s="83" t="s">
        <v>9</v>
      </c>
      <c r="G15" s="84">
        <v>6300000</v>
      </c>
      <c r="H15" s="85">
        <f>225000+300000</f>
        <v>525000</v>
      </c>
      <c r="I15" s="23" t="e">
        <f>+G15-#REF!</f>
        <v>#REF!</v>
      </c>
      <c r="J15" s="85">
        <f t="shared" ref="J15:R15" si="3">225000+300000</f>
        <v>525000</v>
      </c>
      <c r="K15" s="85">
        <f t="shared" si="3"/>
        <v>525000</v>
      </c>
      <c r="L15" s="85">
        <f t="shared" si="3"/>
        <v>525000</v>
      </c>
      <c r="M15" s="85">
        <f t="shared" si="3"/>
        <v>525000</v>
      </c>
      <c r="N15" s="85">
        <f t="shared" si="3"/>
        <v>525000</v>
      </c>
      <c r="O15" s="85">
        <f t="shared" si="3"/>
        <v>525000</v>
      </c>
      <c r="P15" s="85">
        <f t="shared" si="3"/>
        <v>525000</v>
      </c>
      <c r="Q15" s="85">
        <f t="shared" si="3"/>
        <v>525000</v>
      </c>
      <c r="R15" s="85">
        <f t="shared" si="3"/>
        <v>525000</v>
      </c>
      <c r="S15" s="85">
        <f>+H15+J15+K15+L15+M15+N15+O15+P15+Q15+R15</f>
        <v>5250000</v>
      </c>
      <c r="T15" s="86">
        <f>+G15-S15</f>
        <v>1050000</v>
      </c>
    </row>
    <row r="16" spans="1:20" ht="15.75">
      <c r="A16" s="64"/>
      <c r="B16" s="64"/>
      <c r="C16" s="72"/>
      <c r="D16" s="64"/>
      <c r="E16" s="63"/>
      <c r="F16" s="83"/>
      <c r="G16" s="87"/>
      <c r="H16" s="88"/>
      <c r="I16" s="24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9"/>
    </row>
    <row r="17" spans="1:20" ht="48" thickBot="1">
      <c r="A17" s="64">
        <v>2</v>
      </c>
      <c r="B17" s="64">
        <v>1</v>
      </c>
      <c r="C17" s="72">
        <v>1</v>
      </c>
      <c r="D17" s="64">
        <v>2</v>
      </c>
      <c r="E17" s="73"/>
      <c r="F17" s="90" t="s">
        <v>10</v>
      </c>
      <c r="G17" s="75">
        <f>G18</f>
        <v>13298740</v>
      </c>
      <c r="H17" s="91">
        <f>SUM(H18:H20)</f>
        <v>929830</v>
      </c>
      <c r="I17" s="25" t="e">
        <f>SUM(I18:I20)</f>
        <v>#REF!</v>
      </c>
      <c r="J17" s="91">
        <f>SUM(J18:J20)</f>
        <v>939830</v>
      </c>
      <c r="K17" s="91">
        <f>SUM(K18:K20)</f>
        <v>939830</v>
      </c>
      <c r="L17" s="91">
        <f t="shared" ref="L17:T17" si="4">SUM(L18:L20)</f>
        <v>939830</v>
      </c>
      <c r="M17" s="91">
        <f t="shared" si="4"/>
        <v>939830</v>
      </c>
      <c r="N17" s="91">
        <f t="shared" si="4"/>
        <v>939830</v>
      </c>
      <c r="O17" s="91">
        <f t="shared" si="4"/>
        <v>939830</v>
      </c>
      <c r="P17" s="91">
        <f>SUM(P18:P20)</f>
        <v>939830</v>
      </c>
      <c r="Q17" s="91">
        <f>SUM(Q18:Q20)</f>
        <v>939830</v>
      </c>
      <c r="R17" s="91">
        <f>SUM(R18:R20)</f>
        <v>986668.71</v>
      </c>
      <c r="S17" s="91">
        <f>SUM(S18:S20)</f>
        <v>9435138.7100000009</v>
      </c>
      <c r="T17" s="92">
        <f t="shared" si="4"/>
        <v>3863601.29</v>
      </c>
    </row>
    <row r="18" spans="1:20" ht="31.5">
      <c r="A18" s="64">
        <v>2</v>
      </c>
      <c r="B18" s="64">
        <v>1</v>
      </c>
      <c r="C18" s="72">
        <v>1</v>
      </c>
      <c r="D18" s="64">
        <v>2</v>
      </c>
      <c r="E18" s="64">
        <v>1</v>
      </c>
      <c r="F18" s="93" t="s">
        <v>11</v>
      </c>
      <c r="G18" s="94">
        <v>13298740</v>
      </c>
      <c r="H18" s="88">
        <f>51400+75378+60885+73500+48920+80500+93500+73500+122117+110065+85065</f>
        <v>874830</v>
      </c>
      <c r="I18" s="24" t="e">
        <f>+G18-#REF!</f>
        <v>#REF!</v>
      </c>
      <c r="J18" s="88">
        <f t="shared" ref="J18:R18" si="5">51400+75378+60885+73500+48920+80500+93500+73500+122117+110065+85065+65000</f>
        <v>939830</v>
      </c>
      <c r="K18" s="88">
        <f t="shared" si="5"/>
        <v>939830</v>
      </c>
      <c r="L18" s="88">
        <f t="shared" si="5"/>
        <v>939830</v>
      </c>
      <c r="M18" s="88">
        <f t="shared" si="5"/>
        <v>939830</v>
      </c>
      <c r="N18" s="88">
        <f t="shared" si="5"/>
        <v>939830</v>
      </c>
      <c r="O18" s="88">
        <f t="shared" si="5"/>
        <v>939830</v>
      </c>
      <c r="P18" s="88">
        <f t="shared" si="5"/>
        <v>939830</v>
      </c>
      <c r="Q18" s="88">
        <f t="shared" si="5"/>
        <v>939830</v>
      </c>
      <c r="R18" s="88">
        <f t="shared" si="5"/>
        <v>939830</v>
      </c>
      <c r="S18" s="88">
        <f>+H18+J18+K18+L18+M18+N18+O18+P18+Q18+R18</f>
        <v>9333300</v>
      </c>
      <c r="T18" s="89">
        <f>+G18-S18</f>
        <v>3965440</v>
      </c>
    </row>
    <row r="19" spans="1:20" ht="15.75">
      <c r="A19" s="64">
        <v>2</v>
      </c>
      <c r="B19" s="64">
        <v>1</v>
      </c>
      <c r="C19" s="72">
        <v>1</v>
      </c>
      <c r="D19" s="64">
        <v>2</v>
      </c>
      <c r="E19" s="64">
        <v>2</v>
      </c>
      <c r="F19" s="93" t="s">
        <v>12</v>
      </c>
      <c r="G19" s="87"/>
      <c r="H19" s="88"/>
      <c r="I19" s="24"/>
      <c r="J19" s="88"/>
      <c r="K19" s="88"/>
      <c r="L19" s="88"/>
      <c r="M19" s="88"/>
      <c r="N19" s="88"/>
      <c r="O19" s="88"/>
      <c r="P19" s="88"/>
      <c r="Q19" s="88"/>
      <c r="R19" s="88"/>
      <c r="S19" s="88">
        <f>+H19+J19+K19+L19+M19+N19+O19</f>
        <v>0</v>
      </c>
      <c r="T19" s="89"/>
    </row>
    <row r="20" spans="1:20" ht="31.5">
      <c r="A20" s="64">
        <v>2</v>
      </c>
      <c r="B20" s="64">
        <v>1</v>
      </c>
      <c r="C20" s="72">
        <v>1</v>
      </c>
      <c r="D20" s="64">
        <v>2</v>
      </c>
      <c r="E20" s="64">
        <v>5</v>
      </c>
      <c r="F20" s="93" t="s">
        <v>13</v>
      </c>
      <c r="G20" s="95"/>
      <c r="H20" s="96">
        <v>55000</v>
      </c>
      <c r="I20" s="27" t="e">
        <f>+G20-#REF!</f>
        <v>#REF!</v>
      </c>
      <c r="J20" s="96"/>
      <c r="K20" s="96"/>
      <c r="L20" s="96"/>
      <c r="M20" s="96"/>
      <c r="N20" s="96"/>
      <c r="O20" s="96"/>
      <c r="P20" s="96"/>
      <c r="Q20" s="96"/>
      <c r="R20" s="96">
        <v>46838.71</v>
      </c>
      <c r="S20" s="88">
        <f>+H20+J20+K20+L20+M20+N20+O20+P20+Q20+R20</f>
        <v>101838.70999999999</v>
      </c>
      <c r="T20" s="97">
        <f>G20-S20</f>
        <v>-101838.70999999999</v>
      </c>
    </row>
    <row r="21" spans="1:20" ht="15.75">
      <c r="A21" s="64"/>
      <c r="B21" s="64"/>
      <c r="C21" s="72"/>
      <c r="D21" s="64"/>
      <c r="E21" s="64"/>
      <c r="F21" s="93"/>
      <c r="G21" s="95"/>
      <c r="H21" s="96" t="s">
        <v>110</v>
      </c>
      <c r="I21" s="27"/>
      <c r="J21" s="96" t="s">
        <v>110</v>
      </c>
      <c r="K21" s="96"/>
      <c r="L21" s="96"/>
      <c r="M21" s="96"/>
      <c r="N21" s="96"/>
      <c r="O21" s="96"/>
      <c r="P21" s="96"/>
      <c r="Q21" s="96"/>
      <c r="R21" s="96"/>
      <c r="S21" s="96" t="s">
        <v>110</v>
      </c>
      <c r="T21" s="97"/>
    </row>
    <row r="22" spans="1:20" ht="16.5" thickBot="1">
      <c r="A22" s="64">
        <v>2</v>
      </c>
      <c r="B22" s="64">
        <v>1</v>
      </c>
      <c r="C22" s="72">
        <v>1</v>
      </c>
      <c r="D22" s="64">
        <v>4</v>
      </c>
      <c r="E22" s="73"/>
      <c r="F22" s="90" t="s">
        <v>14</v>
      </c>
      <c r="G22" s="75">
        <f t="shared" ref="G22:T22" si="6">G23</f>
        <v>1633228</v>
      </c>
      <c r="H22" s="78">
        <f t="shared" si="6"/>
        <v>0</v>
      </c>
      <c r="I22" s="21" t="e">
        <f t="shared" si="6"/>
        <v>#REF!</v>
      </c>
      <c r="J22" s="78">
        <f t="shared" si="6"/>
        <v>0</v>
      </c>
      <c r="K22" s="78">
        <f t="shared" si="6"/>
        <v>0</v>
      </c>
      <c r="L22" s="78">
        <f t="shared" si="6"/>
        <v>0</v>
      </c>
      <c r="M22" s="78">
        <f t="shared" si="6"/>
        <v>0</v>
      </c>
      <c r="N22" s="91">
        <f t="shared" si="6"/>
        <v>42532</v>
      </c>
      <c r="O22" s="91">
        <f t="shared" si="6"/>
        <v>0</v>
      </c>
      <c r="P22" s="91">
        <f t="shared" si="6"/>
        <v>0</v>
      </c>
      <c r="Q22" s="91">
        <f t="shared" si="6"/>
        <v>0</v>
      </c>
      <c r="R22" s="91">
        <f t="shared" si="6"/>
        <v>0</v>
      </c>
      <c r="S22" s="98">
        <f>S23</f>
        <v>42532</v>
      </c>
      <c r="T22" s="79">
        <f t="shared" si="6"/>
        <v>1590696</v>
      </c>
    </row>
    <row r="23" spans="1:20" ht="15.75">
      <c r="A23" s="64">
        <v>2</v>
      </c>
      <c r="B23" s="64">
        <v>1</v>
      </c>
      <c r="C23" s="72">
        <v>1</v>
      </c>
      <c r="D23" s="64">
        <v>4</v>
      </c>
      <c r="E23" s="64">
        <v>1</v>
      </c>
      <c r="F23" s="93" t="s">
        <v>15</v>
      </c>
      <c r="G23" s="94">
        <v>1633228</v>
      </c>
      <c r="H23" s="99">
        <v>0</v>
      </c>
      <c r="I23" s="28" t="e">
        <f>+G23-#REF!</f>
        <v>#REF!</v>
      </c>
      <c r="J23" s="99">
        <v>0</v>
      </c>
      <c r="K23" s="99"/>
      <c r="L23" s="99"/>
      <c r="M23" s="99"/>
      <c r="N23" s="96">
        <v>42532</v>
      </c>
      <c r="O23" s="96"/>
      <c r="P23" s="96"/>
      <c r="Q23" s="96"/>
      <c r="R23" s="96"/>
      <c r="S23" s="88">
        <f>+H23+J23+K23+L23+M23+N23+O23+P23+Q23+R23</f>
        <v>42532</v>
      </c>
      <c r="T23" s="100">
        <f>G23-S23</f>
        <v>1590696</v>
      </c>
    </row>
    <row r="24" spans="1:20" ht="15.75">
      <c r="A24" s="64"/>
      <c r="B24" s="64"/>
      <c r="C24" s="72"/>
      <c r="D24" s="64"/>
      <c r="E24" s="64"/>
      <c r="F24" s="93"/>
      <c r="G24" s="95"/>
      <c r="H24" s="96"/>
      <c r="I24" s="27"/>
      <c r="J24" s="96"/>
      <c r="K24" s="96"/>
      <c r="L24" s="96"/>
      <c r="M24" s="96"/>
      <c r="N24" s="96"/>
      <c r="O24" s="96" t="s">
        <v>138</v>
      </c>
      <c r="P24" s="96"/>
      <c r="Q24" s="96"/>
      <c r="R24" s="96"/>
      <c r="S24" s="96"/>
      <c r="T24" s="97"/>
    </row>
    <row r="25" spans="1:20" ht="16.5" thickBot="1">
      <c r="A25" s="64">
        <v>2</v>
      </c>
      <c r="B25" s="64">
        <v>1</v>
      </c>
      <c r="C25" s="72">
        <v>1</v>
      </c>
      <c r="D25" s="64">
        <v>5</v>
      </c>
      <c r="E25" s="73"/>
      <c r="F25" s="90" t="s">
        <v>16</v>
      </c>
      <c r="G25" s="101">
        <f>G26+G29</f>
        <v>0</v>
      </c>
      <c r="H25" s="91">
        <f t="shared" ref="H25:T25" si="7">H26+H27+H28+H29</f>
        <v>0</v>
      </c>
      <c r="I25" s="25">
        <f t="shared" si="7"/>
        <v>0</v>
      </c>
      <c r="J25" s="91">
        <f t="shared" si="7"/>
        <v>0</v>
      </c>
      <c r="K25" s="91">
        <f t="shared" si="7"/>
        <v>0</v>
      </c>
      <c r="L25" s="91">
        <f t="shared" si="7"/>
        <v>0</v>
      </c>
      <c r="M25" s="91">
        <f t="shared" si="7"/>
        <v>0</v>
      </c>
      <c r="N25" s="91">
        <f t="shared" si="7"/>
        <v>0</v>
      </c>
      <c r="O25" s="91">
        <f t="shared" si="7"/>
        <v>0</v>
      </c>
      <c r="P25" s="91">
        <f t="shared" si="7"/>
        <v>0</v>
      </c>
      <c r="Q25" s="91">
        <f t="shared" si="7"/>
        <v>0</v>
      </c>
      <c r="R25" s="91">
        <f t="shared" si="7"/>
        <v>0</v>
      </c>
      <c r="S25" s="91">
        <f t="shared" si="7"/>
        <v>0</v>
      </c>
      <c r="T25" s="92">
        <f t="shared" si="7"/>
        <v>0</v>
      </c>
    </row>
    <row r="26" spans="1:20" ht="15.75">
      <c r="A26" s="64">
        <v>2</v>
      </c>
      <c r="B26" s="64">
        <v>1</v>
      </c>
      <c r="C26" s="72">
        <v>1</v>
      </c>
      <c r="D26" s="64">
        <v>5</v>
      </c>
      <c r="E26" s="64">
        <v>1</v>
      </c>
      <c r="F26" s="93" t="s">
        <v>16</v>
      </c>
      <c r="G26" s="95"/>
      <c r="H26" s="96">
        <v>0</v>
      </c>
      <c r="I26" s="27">
        <v>0</v>
      </c>
      <c r="J26" s="96">
        <v>0</v>
      </c>
      <c r="K26" s="96"/>
      <c r="L26" s="96"/>
      <c r="M26" s="96"/>
      <c r="N26" s="96"/>
      <c r="O26" s="96"/>
      <c r="P26" s="96"/>
      <c r="Q26" s="96"/>
      <c r="R26" s="96"/>
      <c r="S26" s="88">
        <f>+H26+J26+K26+L26+M26+N26+O26+P26+Q26+R26</f>
        <v>0</v>
      </c>
      <c r="T26" s="97">
        <f>G26-S26</f>
        <v>0</v>
      </c>
    </row>
    <row r="27" spans="1:20" ht="31.5">
      <c r="A27" s="64">
        <v>2</v>
      </c>
      <c r="B27" s="64">
        <v>1</v>
      </c>
      <c r="C27" s="72">
        <v>1</v>
      </c>
      <c r="D27" s="64">
        <v>5</v>
      </c>
      <c r="E27" s="64">
        <v>2</v>
      </c>
      <c r="F27" s="93" t="s">
        <v>17</v>
      </c>
      <c r="G27" s="95"/>
      <c r="H27" s="96">
        <v>0</v>
      </c>
      <c r="I27" s="27">
        <v>0</v>
      </c>
      <c r="J27" s="96">
        <v>0</v>
      </c>
      <c r="K27" s="96"/>
      <c r="L27" s="96"/>
      <c r="M27" s="96"/>
      <c r="N27" s="96"/>
      <c r="O27" s="96"/>
      <c r="P27" s="96"/>
      <c r="Q27" s="96"/>
      <c r="R27" s="96"/>
      <c r="S27" s="88">
        <f>+H27+J27+K27+L27+M27+N27+O27+P27+Q27+R27</f>
        <v>0</v>
      </c>
      <c r="T27" s="97">
        <f>G27-S27</f>
        <v>0</v>
      </c>
    </row>
    <row r="28" spans="1:20" ht="31.5">
      <c r="A28" s="64">
        <v>2</v>
      </c>
      <c r="B28" s="64">
        <v>1</v>
      </c>
      <c r="C28" s="72">
        <v>1</v>
      </c>
      <c r="D28" s="64">
        <v>5</v>
      </c>
      <c r="E28" s="64">
        <v>3</v>
      </c>
      <c r="F28" s="93" t="s">
        <v>18</v>
      </c>
      <c r="G28" s="95"/>
      <c r="H28" s="96">
        <v>0</v>
      </c>
      <c r="I28" s="27">
        <v>0</v>
      </c>
      <c r="J28" s="96">
        <v>0</v>
      </c>
      <c r="K28" s="96"/>
      <c r="L28" s="96"/>
      <c r="M28" s="96"/>
      <c r="N28" s="96"/>
      <c r="O28" s="96"/>
      <c r="P28" s="96"/>
      <c r="Q28" s="96"/>
      <c r="R28" s="96"/>
      <c r="S28" s="88">
        <f>+H28+J28+K28+L28+M28+N28+O28+P28+Q28+R28</f>
        <v>0</v>
      </c>
      <c r="T28" s="97">
        <f>G28-S28</f>
        <v>0</v>
      </c>
    </row>
    <row r="29" spans="1:20" ht="31.5">
      <c r="A29" s="64">
        <v>2</v>
      </c>
      <c r="B29" s="64">
        <v>1</v>
      </c>
      <c r="C29" s="72">
        <v>1</v>
      </c>
      <c r="D29" s="64">
        <v>5</v>
      </c>
      <c r="E29" s="64">
        <v>4</v>
      </c>
      <c r="F29" s="93" t="s">
        <v>19</v>
      </c>
      <c r="G29" s="95"/>
      <c r="H29" s="96"/>
      <c r="I29" s="27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7"/>
    </row>
    <row r="30" spans="1:20" ht="16.5" thickBot="1">
      <c r="A30" s="64"/>
      <c r="B30" s="64"/>
      <c r="C30" s="72"/>
      <c r="D30" s="64"/>
      <c r="E30" s="64"/>
      <c r="F30" s="93"/>
      <c r="G30" s="95"/>
      <c r="H30" s="96"/>
      <c r="I30" s="27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7"/>
    </row>
    <row r="31" spans="1:20" ht="16.5" thickBot="1">
      <c r="A31" s="64">
        <v>2</v>
      </c>
      <c r="B31" s="64">
        <v>1</v>
      </c>
      <c r="C31" s="72">
        <v>2</v>
      </c>
      <c r="D31" s="64"/>
      <c r="E31" s="64"/>
      <c r="F31" s="90" t="s">
        <v>20</v>
      </c>
      <c r="G31" s="102">
        <f t="shared" ref="G31:T31" si="8">G32</f>
        <v>2383080</v>
      </c>
      <c r="H31" s="103">
        <f t="shared" si="8"/>
        <v>0</v>
      </c>
      <c r="I31" s="6" t="e">
        <f t="shared" si="8"/>
        <v>#REF!</v>
      </c>
      <c r="J31" s="103">
        <f t="shared" si="8"/>
        <v>0</v>
      </c>
      <c r="K31" s="103">
        <f t="shared" si="8"/>
        <v>0</v>
      </c>
      <c r="L31" s="103">
        <f t="shared" si="8"/>
        <v>0</v>
      </c>
      <c r="M31" s="103">
        <f>M32</f>
        <v>0</v>
      </c>
      <c r="N31" s="103">
        <f t="shared" si="8"/>
        <v>0</v>
      </c>
      <c r="O31" s="103">
        <f t="shared" si="8"/>
        <v>0</v>
      </c>
      <c r="P31" s="103">
        <f>P32</f>
        <v>1065064.25</v>
      </c>
      <c r="Q31" s="103">
        <f>Q32</f>
        <v>874830</v>
      </c>
      <c r="R31" s="103">
        <f>R32</f>
        <v>93500</v>
      </c>
      <c r="S31" s="103">
        <f t="shared" si="8"/>
        <v>2033394.25</v>
      </c>
      <c r="T31" s="86">
        <f t="shared" si="8"/>
        <v>349685.75</v>
      </c>
    </row>
    <row r="32" spans="1:20" ht="16.5" thickBot="1">
      <c r="A32" s="64">
        <v>2</v>
      </c>
      <c r="B32" s="64">
        <v>1</v>
      </c>
      <c r="C32" s="64">
        <v>2</v>
      </c>
      <c r="D32" s="64">
        <v>2</v>
      </c>
      <c r="E32" s="64"/>
      <c r="F32" s="90" t="s">
        <v>21</v>
      </c>
      <c r="G32" s="75">
        <f>G33+G34+G36</f>
        <v>2383080</v>
      </c>
      <c r="H32" s="91">
        <f t="shared" ref="H32:N32" si="9">SUM(H33:H40)</f>
        <v>0</v>
      </c>
      <c r="I32" s="91" t="e">
        <f t="shared" si="9"/>
        <v>#REF!</v>
      </c>
      <c r="J32" s="91">
        <f t="shared" si="9"/>
        <v>0</v>
      </c>
      <c r="K32" s="91">
        <f t="shared" si="9"/>
        <v>0</v>
      </c>
      <c r="L32" s="91">
        <f t="shared" si="9"/>
        <v>0</v>
      </c>
      <c r="M32" s="91">
        <f t="shared" si="9"/>
        <v>0</v>
      </c>
      <c r="N32" s="91">
        <f t="shared" si="9"/>
        <v>0</v>
      </c>
      <c r="O32" s="91">
        <f>SUM(O33:O40)</f>
        <v>0</v>
      </c>
      <c r="P32" s="91">
        <f>SUM(P33:P40)</f>
        <v>1065064.25</v>
      </c>
      <c r="Q32" s="91">
        <f>SUM(Q33:Q40)</f>
        <v>874830</v>
      </c>
      <c r="R32" s="91">
        <f>SUM(R33:R40)</f>
        <v>93500</v>
      </c>
      <c r="S32" s="91">
        <f>SUM(S33:S40)</f>
        <v>2033394.25</v>
      </c>
      <c r="T32" s="104">
        <f>+T33+T34+T35+T36+T37+T38+T39+T40</f>
        <v>349685.75</v>
      </c>
    </row>
    <row r="33" spans="1:20" ht="31.5">
      <c r="A33" s="64">
        <v>2</v>
      </c>
      <c r="B33" s="64">
        <v>1</v>
      </c>
      <c r="C33" s="64">
        <v>2</v>
      </c>
      <c r="D33" s="64">
        <v>2</v>
      </c>
      <c r="E33" s="64">
        <v>2</v>
      </c>
      <c r="F33" s="90" t="s">
        <v>22</v>
      </c>
      <c r="G33" s="105"/>
      <c r="H33" s="78">
        <v>0</v>
      </c>
      <c r="I33" s="21">
        <v>0</v>
      </c>
      <c r="J33" s="78">
        <v>0</v>
      </c>
      <c r="K33" s="78">
        <v>0</v>
      </c>
      <c r="L33" s="78"/>
      <c r="M33" s="78"/>
      <c r="N33" s="78"/>
      <c r="O33" s="78"/>
      <c r="P33" s="78"/>
      <c r="Q33" s="106"/>
      <c r="R33" s="106"/>
      <c r="S33" s="88">
        <f>+H33+J33+K33+L33+M33+N33+O33+P33+Q33+R33</f>
        <v>0</v>
      </c>
      <c r="T33" s="107">
        <f>G33-S33</f>
        <v>0</v>
      </c>
    </row>
    <row r="34" spans="1:20" ht="15.75">
      <c r="A34" s="64">
        <v>2</v>
      </c>
      <c r="B34" s="64">
        <v>1</v>
      </c>
      <c r="C34" s="64">
        <v>2</v>
      </c>
      <c r="D34" s="64">
        <v>2</v>
      </c>
      <c r="E34" s="64">
        <v>4</v>
      </c>
      <c r="F34" s="93" t="s">
        <v>23</v>
      </c>
      <c r="G34" s="95">
        <v>0</v>
      </c>
      <c r="H34" s="96">
        <v>0</v>
      </c>
      <c r="I34" s="96">
        <v>0</v>
      </c>
      <c r="J34" s="96">
        <v>0</v>
      </c>
      <c r="K34" s="96">
        <v>0</v>
      </c>
      <c r="L34" s="96"/>
      <c r="M34" s="96"/>
      <c r="N34" s="96"/>
      <c r="O34" s="96"/>
      <c r="P34" s="96"/>
      <c r="Q34" s="108"/>
      <c r="R34" s="108"/>
      <c r="S34" s="88">
        <f>+H34+J34+K34+L34+M34+N34+O34+P34+Q34+R34</f>
        <v>0</v>
      </c>
      <c r="T34" s="107">
        <f>G34-S34</f>
        <v>0</v>
      </c>
    </row>
    <row r="35" spans="1:20" ht="31.5">
      <c r="A35" s="64">
        <v>2</v>
      </c>
      <c r="B35" s="64">
        <v>1</v>
      </c>
      <c r="C35" s="64">
        <v>2</v>
      </c>
      <c r="D35" s="64">
        <v>2</v>
      </c>
      <c r="E35" s="64">
        <v>10</v>
      </c>
      <c r="F35" s="93" t="s">
        <v>139</v>
      </c>
      <c r="G35" s="95"/>
      <c r="H35" s="96"/>
      <c r="I35" s="97"/>
      <c r="J35" s="96"/>
      <c r="K35" s="96"/>
      <c r="L35" s="96"/>
      <c r="M35" s="96"/>
      <c r="N35" s="96"/>
      <c r="O35" s="96"/>
      <c r="P35" s="96"/>
      <c r="Q35" s="108">
        <f>85065+110065+122117+73500+93500+80500+48920+73500+60885+75378+51400</f>
        <v>874830</v>
      </c>
      <c r="R35" s="108"/>
      <c r="S35" s="88">
        <f t="shared" ref="S35:S41" si="10">+H35+J35+K35+L35+M35+N35+O35+P35+Q35+R35</f>
        <v>874830</v>
      </c>
      <c r="T35" s="107">
        <f>G35-S35</f>
        <v>-874830</v>
      </c>
    </row>
    <row r="36" spans="1:20" ht="31.5">
      <c r="A36" s="64">
        <v>2</v>
      </c>
      <c r="B36" s="64">
        <v>1</v>
      </c>
      <c r="C36" s="64">
        <v>2</v>
      </c>
      <c r="D36" s="64">
        <v>2</v>
      </c>
      <c r="E36" s="64">
        <v>15</v>
      </c>
      <c r="F36" s="93" t="s">
        <v>107</v>
      </c>
      <c r="G36" s="95">
        <v>2383080</v>
      </c>
      <c r="H36" s="96"/>
      <c r="I36" s="27" t="e">
        <f>+G36-#REF!</f>
        <v>#REF!</v>
      </c>
      <c r="J36" s="96"/>
      <c r="K36" s="96"/>
      <c r="L36" s="96"/>
      <c r="M36" s="96"/>
      <c r="N36" s="96"/>
      <c r="O36" s="96"/>
      <c r="P36" s="96"/>
      <c r="Q36" s="108"/>
      <c r="R36" s="108"/>
      <c r="S36" s="88">
        <f t="shared" si="10"/>
        <v>0</v>
      </c>
      <c r="T36" s="107">
        <f>G36-S36</f>
        <v>2383080</v>
      </c>
    </row>
    <row r="37" spans="1:20" ht="15.75">
      <c r="A37" s="64"/>
      <c r="B37" s="64"/>
      <c r="C37" s="72"/>
      <c r="D37" s="64"/>
      <c r="E37" s="64"/>
      <c r="F37" s="93"/>
      <c r="G37" s="95"/>
      <c r="H37" s="96"/>
      <c r="I37" s="27"/>
      <c r="J37" s="96"/>
      <c r="K37" s="96"/>
      <c r="L37" s="96"/>
      <c r="M37" s="96"/>
      <c r="N37" s="96"/>
      <c r="O37" s="96"/>
      <c r="P37" s="96"/>
      <c r="Q37" s="108"/>
      <c r="R37" s="108"/>
      <c r="S37" s="88">
        <f t="shared" si="10"/>
        <v>0</v>
      </c>
      <c r="T37" s="107">
        <f t="shared" ref="T37:T40" si="11">G37-S37</f>
        <v>0</v>
      </c>
    </row>
    <row r="38" spans="1:20" ht="31.5">
      <c r="A38" s="64">
        <v>2</v>
      </c>
      <c r="B38" s="64">
        <v>1</v>
      </c>
      <c r="C38" s="72">
        <v>3</v>
      </c>
      <c r="D38" s="64">
        <v>7</v>
      </c>
      <c r="E38" s="64"/>
      <c r="F38" s="90" t="s">
        <v>140</v>
      </c>
      <c r="G38" s="95"/>
      <c r="H38" s="96"/>
      <c r="I38" s="27"/>
      <c r="J38" s="96"/>
      <c r="K38" s="96"/>
      <c r="L38" s="96"/>
      <c r="M38" s="96"/>
      <c r="N38" s="96"/>
      <c r="O38" s="96"/>
      <c r="P38" s="96"/>
      <c r="Q38" s="108"/>
      <c r="R38" s="108"/>
      <c r="S38" s="88">
        <f t="shared" si="10"/>
        <v>0</v>
      </c>
      <c r="T38" s="107">
        <f t="shared" si="11"/>
        <v>0</v>
      </c>
    </row>
    <row r="39" spans="1:20" ht="15.75">
      <c r="A39" s="64">
        <v>2</v>
      </c>
      <c r="B39" s="64">
        <v>1</v>
      </c>
      <c r="C39" s="72">
        <v>3</v>
      </c>
      <c r="D39" s="64">
        <v>7</v>
      </c>
      <c r="E39" s="64">
        <v>2</v>
      </c>
      <c r="F39" s="93" t="s">
        <v>141</v>
      </c>
      <c r="G39" s="95"/>
      <c r="H39" s="96"/>
      <c r="I39" s="27"/>
      <c r="J39" s="96"/>
      <c r="K39" s="96"/>
      <c r="L39" s="96"/>
      <c r="M39" s="96"/>
      <c r="N39" s="96"/>
      <c r="O39" s="96"/>
      <c r="P39" s="96">
        <f>20000+20000+20000+20000+10000+10000+20000</f>
        <v>120000</v>
      </c>
      <c r="Q39" s="108"/>
      <c r="R39" s="108"/>
      <c r="S39" s="88">
        <f t="shared" si="10"/>
        <v>120000</v>
      </c>
      <c r="T39" s="107">
        <f t="shared" si="11"/>
        <v>-120000</v>
      </c>
    </row>
    <row r="40" spans="1:20" ht="15.75">
      <c r="A40" s="64">
        <v>2</v>
      </c>
      <c r="B40" s="64">
        <v>1</v>
      </c>
      <c r="C40" s="72">
        <v>3</v>
      </c>
      <c r="D40" s="64">
        <v>7</v>
      </c>
      <c r="E40" s="64">
        <v>4</v>
      </c>
      <c r="F40" s="93" t="s">
        <v>142</v>
      </c>
      <c r="G40" s="95"/>
      <c r="H40" s="96"/>
      <c r="I40" s="27"/>
      <c r="J40" s="96"/>
      <c r="K40" s="96"/>
      <c r="L40" s="96"/>
      <c r="M40" s="96"/>
      <c r="N40" s="96"/>
      <c r="O40" s="96"/>
      <c r="P40" s="96">
        <f>225000+85065+110065+122117+73500+80500+48920+73500+45663.75+55033.5+25700</f>
        <v>945064.25</v>
      </c>
      <c r="Q40" s="108"/>
      <c r="R40" s="108">
        <v>93500</v>
      </c>
      <c r="S40" s="88">
        <f t="shared" si="10"/>
        <v>1038564.25</v>
      </c>
      <c r="T40" s="107">
        <f t="shared" si="11"/>
        <v>-1038564.25</v>
      </c>
    </row>
    <row r="41" spans="1:20" ht="15.75">
      <c r="A41" s="64"/>
      <c r="B41" s="64"/>
      <c r="C41" s="72"/>
      <c r="D41" s="64"/>
      <c r="E41" s="64"/>
      <c r="F41" s="93"/>
      <c r="G41" s="95"/>
      <c r="H41" s="96"/>
      <c r="I41" s="27"/>
      <c r="J41" s="96"/>
      <c r="K41" s="96"/>
      <c r="L41" s="96"/>
      <c r="M41" s="96"/>
      <c r="N41" s="96"/>
      <c r="O41" s="96"/>
      <c r="P41" s="96"/>
      <c r="Q41" s="108"/>
      <c r="R41" s="108"/>
      <c r="S41" s="88">
        <f t="shared" si="10"/>
        <v>0</v>
      </c>
      <c r="T41" s="107"/>
    </row>
    <row r="42" spans="1:20" ht="32.25" thickBot="1">
      <c r="A42" s="64">
        <v>2</v>
      </c>
      <c r="B42" s="64">
        <v>1</v>
      </c>
      <c r="C42" s="72">
        <v>3</v>
      </c>
      <c r="D42" s="64"/>
      <c r="E42" s="64"/>
      <c r="F42" s="90" t="s">
        <v>24</v>
      </c>
      <c r="G42" s="95"/>
      <c r="H42" s="96"/>
      <c r="I42" s="27"/>
      <c r="J42" s="96"/>
      <c r="K42" s="96"/>
      <c r="L42" s="96"/>
      <c r="M42" s="96"/>
      <c r="N42" s="96"/>
      <c r="O42" s="96"/>
      <c r="P42" s="96"/>
      <c r="Q42" s="108"/>
      <c r="R42" s="108"/>
      <c r="S42" s="96"/>
      <c r="T42" s="109"/>
    </row>
    <row r="43" spans="1:20" ht="16.5" thickBot="1">
      <c r="A43" s="64">
        <v>2</v>
      </c>
      <c r="B43" s="64">
        <v>1</v>
      </c>
      <c r="C43" s="72">
        <v>3</v>
      </c>
      <c r="D43" s="64">
        <v>1</v>
      </c>
      <c r="E43" s="73"/>
      <c r="F43" s="90" t="s">
        <v>25</v>
      </c>
      <c r="G43" s="80">
        <f t="shared" ref="G43:S43" si="12">G44+G45</f>
        <v>0</v>
      </c>
      <c r="H43" s="81">
        <f t="shared" si="12"/>
        <v>0</v>
      </c>
      <c r="I43" s="30">
        <f t="shared" si="12"/>
        <v>0</v>
      </c>
      <c r="J43" s="81">
        <f t="shared" si="12"/>
        <v>0</v>
      </c>
      <c r="K43" s="81">
        <f t="shared" si="12"/>
        <v>0</v>
      </c>
      <c r="L43" s="81">
        <f t="shared" si="12"/>
        <v>0</v>
      </c>
      <c r="M43" s="81">
        <f t="shared" si="12"/>
        <v>0</v>
      </c>
      <c r="N43" s="81">
        <f t="shared" si="12"/>
        <v>0</v>
      </c>
      <c r="O43" s="81"/>
      <c r="P43" s="81"/>
      <c r="Q43" s="81"/>
      <c r="R43" s="81"/>
      <c r="S43" s="81">
        <f t="shared" si="12"/>
        <v>0</v>
      </c>
      <c r="T43" s="110">
        <f>T44+T45</f>
        <v>0</v>
      </c>
    </row>
    <row r="44" spans="1:20" ht="15.75">
      <c r="A44" s="64">
        <v>2</v>
      </c>
      <c r="B44" s="64">
        <v>1</v>
      </c>
      <c r="C44" s="72">
        <v>3</v>
      </c>
      <c r="D44" s="64">
        <v>1</v>
      </c>
      <c r="E44" s="64">
        <v>1</v>
      </c>
      <c r="F44" s="93" t="s">
        <v>26</v>
      </c>
      <c r="G44" s="94"/>
      <c r="H44" s="96">
        <f t="shared" ref="H44:K45" si="13">G44*12</f>
        <v>0</v>
      </c>
      <c r="I44" s="96">
        <f t="shared" si="13"/>
        <v>0</v>
      </c>
      <c r="J44" s="96">
        <f t="shared" si="13"/>
        <v>0</v>
      </c>
      <c r="K44" s="96">
        <f t="shared" si="13"/>
        <v>0</v>
      </c>
      <c r="L44" s="96"/>
      <c r="M44" s="96"/>
      <c r="N44" s="96"/>
      <c r="O44" s="96"/>
      <c r="P44" s="96"/>
      <c r="Q44" s="96"/>
      <c r="R44" s="96"/>
      <c r="S44" s="111">
        <f>+H44+J44+K44+L44+M44+N44+O44+P44+Q44+R44</f>
        <v>0</v>
      </c>
      <c r="T44" s="107">
        <f t="shared" ref="T44:T45" si="14">G44-S44</f>
        <v>0</v>
      </c>
    </row>
    <row r="45" spans="1:20" ht="15.75">
      <c r="A45" s="64">
        <v>2</v>
      </c>
      <c r="B45" s="64">
        <v>1</v>
      </c>
      <c r="C45" s="72">
        <v>3</v>
      </c>
      <c r="D45" s="64">
        <v>1</v>
      </c>
      <c r="E45" s="64">
        <v>2</v>
      </c>
      <c r="F45" s="93" t="s">
        <v>27</v>
      </c>
      <c r="G45" s="95"/>
      <c r="H45" s="96">
        <f t="shared" si="13"/>
        <v>0</v>
      </c>
      <c r="I45" s="96">
        <f t="shared" si="13"/>
        <v>0</v>
      </c>
      <c r="J45" s="96">
        <f t="shared" si="13"/>
        <v>0</v>
      </c>
      <c r="K45" s="96">
        <f t="shared" si="13"/>
        <v>0</v>
      </c>
      <c r="L45" s="96"/>
      <c r="M45" s="96"/>
      <c r="N45" s="96"/>
      <c r="O45" s="96"/>
      <c r="P45" s="96"/>
      <c r="Q45" s="96"/>
      <c r="R45" s="96"/>
      <c r="S45" s="88">
        <f>+H45+J45+K45+L45+M45+N45+O45+P45+Q45+R45</f>
        <v>0</v>
      </c>
      <c r="T45" s="107">
        <f t="shared" si="14"/>
        <v>0</v>
      </c>
    </row>
    <row r="46" spans="1:20" s="3" customFormat="1" ht="15.75">
      <c r="A46" s="64"/>
      <c r="B46" s="64"/>
      <c r="C46" s="72"/>
      <c r="D46" s="64"/>
      <c r="E46" s="64"/>
      <c r="F46" s="93"/>
      <c r="G46" s="95"/>
      <c r="H46" s="96"/>
      <c r="I46" s="27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7"/>
    </row>
    <row r="47" spans="1:20" ht="48" thickBot="1">
      <c r="A47" s="64">
        <v>2</v>
      </c>
      <c r="B47" s="112">
        <v>1</v>
      </c>
      <c r="C47" s="113">
        <v>5</v>
      </c>
      <c r="D47" s="73"/>
      <c r="E47" s="73"/>
      <c r="F47" s="90" t="s">
        <v>28</v>
      </c>
      <c r="G47" s="75">
        <f>SUM(G48:G50)</f>
        <v>2811673</v>
      </c>
      <c r="H47" s="78">
        <f>SUM(H48:H50)</f>
        <v>206315.72999999998</v>
      </c>
      <c r="I47" s="21" t="e">
        <f>SUM(I48:I50)</f>
        <v>#REF!</v>
      </c>
      <c r="J47" s="78">
        <f>SUM(J48:J50)</f>
        <v>208973.74</v>
      </c>
      <c r="K47" s="78">
        <f>SUM(K48:K50)</f>
        <v>208973.74</v>
      </c>
      <c r="L47" s="78">
        <f t="shared" ref="L47:S47" si="15">SUM(L48:L50)</f>
        <v>202912.02100000001</v>
      </c>
      <c r="M47" s="78">
        <f t="shared" si="15"/>
        <v>208973.74</v>
      </c>
      <c r="N47" s="91">
        <f t="shared" si="15"/>
        <v>208973.74</v>
      </c>
      <c r="O47" s="91">
        <f t="shared" si="15"/>
        <v>208973.74</v>
      </c>
      <c r="P47" s="91">
        <f t="shared" si="15"/>
        <v>208973.74</v>
      </c>
      <c r="Q47" s="91">
        <f t="shared" si="15"/>
        <v>208973.74</v>
      </c>
      <c r="R47" s="91">
        <f t="shared" si="15"/>
        <v>216135.37</v>
      </c>
      <c r="S47" s="98">
        <f t="shared" si="15"/>
        <v>2088179.301</v>
      </c>
      <c r="T47" s="79">
        <f>SUM(T48:T50)</f>
        <v>723493.69900000002</v>
      </c>
    </row>
    <row r="48" spans="1:20" ht="31.5">
      <c r="A48" s="64">
        <v>2</v>
      </c>
      <c r="B48" s="64">
        <v>1</v>
      </c>
      <c r="C48" s="72">
        <v>5</v>
      </c>
      <c r="D48" s="64">
        <v>1</v>
      </c>
      <c r="E48" s="64"/>
      <c r="F48" s="83" t="s">
        <v>29</v>
      </c>
      <c r="G48" s="94">
        <v>1272777</v>
      </c>
      <c r="H48" s="99">
        <v>92444.4</v>
      </c>
      <c r="I48" s="28" t="e">
        <f>+G48-#REF!</f>
        <v>#REF!</v>
      </c>
      <c r="J48" s="99">
        <v>94075.8</v>
      </c>
      <c r="K48" s="99">
        <v>94075.8</v>
      </c>
      <c r="L48" s="99">
        <f>94075.801-6061.72</f>
        <v>88014.081000000006</v>
      </c>
      <c r="M48" s="99">
        <v>94075.8</v>
      </c>
      <c r="N48" s="96">
        <v>94075.8</v>
      </c>
      <c r="O48" s="96">
        <v>94075.8</v>
      </c>
      <c r="P48" s="96">
        <v>94075.8</v>
      </c>
      <c r="Q48" s="96">
        <v>94075.8</v>
      </c>
      <c r="R48" s="96">
        <v>97396.66</v>
      </c>
      <c r="S48" s="88">
        <f>+H48+J48+K48+L48+M48+N48+O48+P48+Q48+R48</f>
        <v>936385.74100000015</v>
      </c>
      <c r="T48" s="100">
        <f>+G48-S48</f>
        <v>336391.25899999985</v>
      </c>
    </row>
    <row r="49" spans="1:20" ht="31.5">
      <c r="A49" s="64">
        <v>2</v>
      </c>
      <c r="B49" s="64">
        <v>1</v>
      </c>
      <c r="C49" s="72">
        <v>5</v>
      </c>
      <c r="D49" s="64">
        <v>2</v>
      </c>
      <c r="E49" s="64"/>
      <c r="F49" s="83" t="s">
        <v>30</v>
      </c>
      <c r="G49" s="95">
        <v>1391511</v>
      </c>
      <c r="H49" s="96">
        <v>103292.95</v>
      </c>
      <c r="I49" s="27" t="e">
        <f>+G49-#REF!</f>
        <v>#REF!</v>
      </c>
      <c r="J49" s="96">
        <v>104002.95</v>
      </c>
      <c r="K49" s="96">
        <v>104002.95</v>
      </c>
      <c r="L49" s="96">
        <v>104002.95</v>
      </c>
      <c r="M49" s="96">
        <v>104002.95</v>
      </c>
      <c r="N49" s="96">
        <v>104002.95</v>
      </c>
      <c r="O49" s="96">
        <v>104002.95</v>
      </c>
      <c r="P49" s="96">
        <v>104002.95</v>
      </c>
      <c r="Q49" s="96">
        <v>104002.95</v>
      </c>
      <c r="R49" s="96">
        <v>107328.5</v>
      </c>
      <c r="S49" s="88">
        <f>+H49+J49+K49+L49+M49+N49+O49+P49+Q49+R49</f>
        <v>1042645.0499999998</v>
      </c>
      <c r="T49" s="97">
        <f>+G49-S49</f>
        <v>348865.95000000019</v>
      </c>
    </row>
    <row r="50" spans="1:20" ht="31.5">
      <c r="A50" s="64">
        <v>2</v>
      </c>
      <c r="B50" s="64">
        <v>1</v>
      </c>
      <c r="C50" s="72">
        <v>5</v>
      </c>
      <c r="D50" s="64">
        <v>3</v>
      </c>
      <c r="E50" s="64"/>
      <c r="F50" s="93" t="s">
        <v>31</v>
      </c>
      <c r="G50" s="95">
        <v>147385</v>
      </c>
      <c r="H50" s="96">
        <v>10578.38</v>
      </c>
      <c r="I50" s="27" t="e">
        <f>+G50-#REF!</f>
        <v>#REF!</v>
      </c>
      <c r="J50" s="96">
        <v>10894.99</v>
      </c>
      <c r="K50" s="96">
        <v>10894.99</v>
      </c>
      <c r="L50" s="96">
        <v>10894.99</v>
      </c>
      <c r="M50" s="96">
        <v>10894.99</v>
      </c>
      <c r="N50" s="96">
        <v>10894.99</v>
      </c>
      <c r="O50" s="96">
        <v>10894.99</v>
      </c>
      <c r="P50" s="96">
        <v>10894.99</v>
      </c>
      <c r="Q50" s="96">
        <v>10894.99</v>
      </c>
      <c r="R50" s="96">
        <v>11410.21</v>
      </c>
      <c r="S50" s="88">
        <f>+H50+J50+K50+L50+M50+N50+O50+P50+Q50+R50</f>
        <v>109148.51000000001</v>
      </c>
      <c r="T50" s="97">
        <f>+G50-S50</f>
        <v>38236.489999999991</v>
      </c>
    </row>
    <row r="51" spans="1:20" ht="15.75">
      <c r="A51" s="64"/>
      <c r="B51" s="64"/>
      <c r="C51" s="72"/>
      <c r="D51" s="64"/>
      <c r="E51" s="64"/>
      <c r="F51" s="93"/>
      <c r="G51" s="95"/>
      <c r="H51" s="96"/>
      <c r="I51" s="27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7"/>
    </row>
    <row r="52" spans="1:20" ht="32.25" thickBot="1">
      <c r="A52" s="64">
        <v>2</v>
      </c>
      <c r="B52" s="64">
        <v>2</v>
      </c>
      <c r="C52" s="72"/>
      <c r="D52" s="64"/>
      <c r="E52" s="73"/>
      <c r="F52" s="74" t="s">
        <v>32</v>
      </c>
      <c r="G52" s="75">
        <f t="shared" ref="G52:T52" si="16">G53+G61+G65+G69+G73+G85+G93+G81+G109</f>
        <v>26111226</v>
      </c>
      <c r="H52" s="91">
        <f t="shared" si="16"/>
        <v>1340446.24</v>
      </c>
      <c r="I52" s="25" t="e">
        <f t="shared" si="16"/>
        <v>#REF!</v>
      </c>
      <c r="J52" s="91">
        <f t="shared" si="16"/>
        <v>1520971.4000000001</v>
      </c>
      <c r="K52" s="91">
        <f t="shared" si="16"/>
        <v>1562030.84</v>
      </c>
      <c r="L52" s="91">
        <f t="shared" si="16"/>
        <v>2163287.7000000002</v>
      </c>
      <c r="M52" s="91">
        <f t="shared" si="16"/>
        <v>1933250.05</v>
      </c>
      <c r="N52" s="91">
        <f t="shared" si="16"/>
        <v>1878724.8000000003</v>
      </c>
      <c r="O52" s="91">
        <f t="shared" si="16"/>
        <v>1885963.28</v>
      </c>
      <c r="P52" s="91">
        <f t="shared" si="16"/>
        <v>1593881.03</v>
      </c>
      <c r="Q52" s="91">
        <f t="shared" si="16"/>
        <v>1681472.8999999997</v>
      </c>
      <c r="R52" s="91">
        <f t="shared" si="16"/>
        <v>2102535.7000000002</v>
      </c>
      <c r="S52" s="91">
        <f>S53+S61+S65+S69+S73+S85+S93+S81+S109</f>
        <v>17662563.940000001</v>
      </c>
      <c r="T52" s="92">
        <f t="shared" si="16"/>
        <v>8448662.0600000005</v>
      </c>
    </row>
    <row r="53" spans="1:20" ht="16.5" thickBot="1">
      <c r="A53" s="64">
        <v>2</v>
      </c>
      <c r="B53" s="64">
        <v>2</v>
      </c>
      <c r="C53" s="72">
        <v>1</v>
      </c>
      <c r="D53" s="64"/>
      <c r="E53" s="73"/>
      <c r="F53" s="74" t="s">
        <v>33</v>
      </c>
      <c r="G53" s="102">
        <f t="shared" ref="G53:R53" si="17">G54+G55+G56+G58</f>
        <v>1354093</v>
      </c>
      <c r="H53" s="78">
        <f t="shared" si="17"/>
        <v>122900.01999999999</v>
      </c>
      <c r="I53" s="21" t="e">
        <f t="shared" si="17"/>
        <v>#REF!</v>
      </c>
      <c r="J53" s="78">
        <f t="shared" si="17"/>
        <v>121985.62</v>
      </c>
      <c r="K53" s="78">
        <f t="shared" si="17"/>
        <v>120045.4</v>
      </c>
      <c r="L53" s="78">
        <f t="shared" si="17"/>
        <v>164988.94</v>
      </c>
      <c r="M53" s="78">
        <f t="shared" si="17"/>
        <v>121623.14</v>
      </c>
      <c r="N53" s="103">
        <f t="shared" si="17"/>
        <v>137949.64000000001</v>
      </c>
      <c r="O53" s="103">
        <f t="shared" si="17"/>
        <v>132119.09999999998</v>
      </c>
      <c r="P53" s="103">
        <f t="shared" si="17"/>
        <v>145715.07</v>
      </c>
      <c r="Q53" s="103">
        <f t="shared" si="17"/>
        <v>141026.22</v>
      </c>
      <c r="R53" s="103">
        <f t="shared" si="17"/>
        <v>147180.57</v>
      </c>
      <c r="S53" s="103">
        <f>S54+S55+S56+S58</f>
        <v>1355533.72</v>
      </c>
      <c r="T53" s="114">
        <f>+G53-S53</f>
        <v>-1440.7199999999721</v>
      </c>
    </row>
    <row r="54" spans="1:20" ht="15.75">
      <c r="A54" s="64">
        <v>2</v>
      </c>
      <c r="B54" s="64">
        <v>2</v>
      </c>
      <c r="C54" s="72">
        <v>1</v>
      </c>
      <c r="D54" s="64">
        <v>3</v>
      </c>
      <c r="E54" s="64"/>
      <c r="F54" s="83" t="s">
        <v>34</v>
      </c>
      <c r="G54" s="94">
        <v>336000</v>
      </c>
      <c r="H54" s="99">
        <f>47963.82+22207.42+2155</f>
        <v>72326.239999999991</v>
      </c>
      <c r="I54" s="28" t="e">
        <f>+G54-#REF!</f>
        <v>#REF!</v>
      </c>
      <c r="J54" s="99">
        <f>8785.14+2212.21+22518.17+31889</f>
        <v>65404.52</v>
      </c>
      <c r="K54" s="99">
        <f>31889+22264.93+2041</f>
        <v>56194.93</v>
      </c>
      <c r="L54" s="99">
        <f>22125.78+42779+2041</f>
        <v>66945.78</v>
      </c>
      <c r="M54" s="99">
        <f>31893.55+22075.97+2041</f>
        <v>56010.520000000004</v>
      </c>
      <c r="N54" s="96">
        <f>21949.11+31889+2041+18886.02</f>
        <v>74765.13</v>
      </c>
      <c r="O54" s="96">
        <f>7793.5+2041+22381.37+31889</f>
        <v>64104.869999999995</v>
      </c>
      <c r="P54" s="96">
        <f>41007.81+22791.57+2041+8353.6</f>
        <v>74193.98000000001</v>
      </c>
      <c r="Q54" s="96">
        <f>37151.44+22707.55+2041+7793.5</f>
        <v>69693.490000000005</v>
      </c>
      <c r="R54" s="96">
        <f>14160+2041+7793.5+22813.46+31889</f>
        <v>78696.959999999992</v>
      </c>
      <c r="S54" s="88">
        <f>+H54+J54+K54+L54+M54+N54+O54+P54+Q54+R54</f>
        <v>678336.41999999993</v>
      </c>
      <c r="T54" s="97">
        <f>+G54-S54</f>
        <v>-342336.41999999993</v>
      </c>
    </row>
    <row r="55" spans="1:20" ht="15.75">
      <c r="A55" s="64">
        <v>2</v>
      </c>
      <c r="B55" s="64">
        <v>2</v>
      </c>
      <c r="C55" s="72">
        <v>1</v>
      </c>
      <c r="D55" s="64">
        <v>4</v>
      </c>
      <c r="E55" s="64"/>
      <c r="F55" s="83" t="s">
        <v>35</v>
      </c>
      <c r="G55" s="95"/>
      <c r="H55" s="96"/>
      <c r="I55" s="27"/>
      <c r="J55" s="96"/>
      <c r="K55" s="96"/>
      <c r="L55" s="96"/>
      <c r="M55" s="96"/>
      <c r="N55" s="96"/>
      <c r="O55" s="96"/>
      <c r="P55" s="96"/>
      <c r="Q55" s="96"/>
      <c r="R55" s="96"/>
      <c r="S55" s="88">
        <f>+H55+J55+K55+L55+M55+N55+O55+P55</f>
        <v>0</v>
      </c>
      <c r="T55" s="97">
        <f>+G55-S55</f>
        <v>0</v>
      </c>
    </row>
    <row r="56" spans="1:20" ht="31.5">
      <c r="A56" s="64">
        <v>2</v>
      </c>
      <c r="B56" s="64">
        <v>2</v>
      </c>
      <c r="C56" s="72">
        <v>1</v>
      </c>
      <c r="D56" s="64">
        <v>5</v>
      </c>
      <c r="E56" s="64"/>
      <c r="F56" s="83" t="s">
        <v>36</v>
      </c>
      <c r="G56" s="95">
        <v>346093</v>
      </c>
      <c r="H56" s="96"/>
      <c r="I56" s="27" t="e">
        <f>+G56-#REF!</f>
        <v>#REF!</v>
      </c>
      <c r="J56" s="96"/>
      <c r="K56" s="96">
        <v>9289.85</v>
      </c>
      <c r="L56" s="96">
        <v>40068.33</v>
      </c>
      <c r="M56" s="96"/>
      <c r="N56" s="96"/>
      <c r="O56" s="96"/>
      <c r="P56" s="96"/>
      <c r="Q56" s="96"/>
      <c r="R56" s="96"/>
      <c r="S56" s="88">
        <f>+H56+J56+K56+L56+M56+N56+O56+P56+Q56+R56</f>
        <v>49358.18</v>
      </c>
      <c r="T56" s="97">
        <f>+G56-S56</f>
        <v>296734.82</v>
      </c>
    </row>
    <row r="57" spans="1:20" ht="15.75">
      <c r="A57" s="64"/>
      <c r="B57" s="64"/>
      <c r="C57" s="72"/>
      <c r="D57" s="64"/>
      <c r="E57" s="64"/>
      <c r="F57" s="83"/>
      <c r="G57" s="95"/>
      <c r="H57" s="96"/>
      <c r="I57" s="27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7"/>
    </row>
    <row r="58" spans="1:20" ht="16.5" thickBot="1">
      <c r="A58" s="64">
        <v>2</v>
      </c>
      <c r="B58" s="64">
        <v>2</v>
      </c>
      <c r="C58" s="72">
        <v>1</v>
      </c>
      <c r="D58" s="64">
        <v>6</v>
      </c>
      <c r="E58" s="64"/>
      <c r="F58" s="90" t="s">
        <v>37</v>
      </c>
      <c r="G58" s="75">
        <f t="shared" ref="G58:T58" si="18">G59</f>
        <v>672000</v>
      </c>
      <c r="H58" s="115">
        <f t="shared" si="18"/>
        <v>50573.78</v>
      </c>
      <c r="I58" s="31" t="e">
        <f t="shared" si="18"/>
        <v>#REF!</v>
      </c>
      <c r="J58" s="115">
        <f t="shared" si="18"/>
        <v>56581.1</v>
      </c>
      <c r="K58" s="115">
        <f t="shared" si="18"/>
        <v>54560.62</v>
      </c>
      <c r="L58" s="115">
        <f t="shared" si="18"/>
        <v>57974.83</v>
      </c>
      <c r="M58" s="115">
        <f t="shared" si="18"/>
        <v>65612.62</v>
      </c>
      <c r="N58" s="115">
        <f t="shared" si="18"/>
        <v>63184.51</v>
      </c>
      <c r="O58" s="115">
        <f t="shared" si="18"/>
        <v>68014.23</v>
      </c>
      <c r="P58" s="115">
        <f t="shared" si="18"/>
        <v>71521.09</v>
      </c>
      <c r="Q58" s="115">
        <f t="shared" si="18"/>
        <v>71332.73</v>
      </c>
      <c r="R58" s="115">
        <f t="shared" si="18"/>
        <v>68483.61</v>
      </c>
      <c r="S58" s="115">
        <f t="shared" si="18"/>
        <v>627839.12</v>
      </c>
      <c r="T58" s="110">
        <f t="shared" si="18"/>
        <v>44160.880000000005</v>
      </c>
    </row>
    <row r="59" spans="1:20" ht="15.75">
      <c r="A59" s="64">
        <v>2</v>
      </c>
      <c r="B59" s="64">
        <v>2</v>
      </c>
      <c r="C59" s="72">
        <v>1</v>
      </c>
      <c r="D59" s="64">
        <v>6</v>
      </c>
      <c r="E59" s="64">
        <v>1</v>
      </c>
      <c r="F59" s="83" t="s">
        <v>38</v>
      </c>
      <c r="G59" s="94">
        <v>672000</v>
      </c>
      <c r="H59" s="96">
        <v>50573.78</v>
      </c>
      <c r="I59" s="28" t="e">
        <f>+G59-#REF!</f>
        <v>#REF!</v>
      </c>
      <c r="J59" s="96">
        <v>56581.1</v>
      </c>
      <c r="K59" s="96">
        <v>54560.62</v>
      </c>
      <c r="L59" s="96">
        <v>57974.83</v>
      </c>
      <c r="M59" s="96">
        <v>65612.62</v>
      </c>
      <c r="N59" s="99">
        <v>63184.51</v>
      </c>
      <c r="O59" s="99">
        <v>68014.23</v>
      </c>
      <c r="P59" s="99">
        <v>71521.09</v>
      </c>
      <c r="Q59" s="99">
        <v>71332.73</v>
      </c>
      <c r="R59" s="99">
        <v>68483.61</v>
      </c>
      <c r="S59" s="111">
        <f>+H59+J59+K59+L59+M59+N59+O59+P59+Q59+R59</f>
        <v>627839.12</v>
      </c>
      <c r="T59" s="100">
        <f>+G59-S59</f>
        <v>44160.880000000005</v>
      </c>
    </row>
    <row r="60" spans="1:20" ht="15.75">
      <c r="A60" s="64"/>
      <c r="B60" s="64"/>
      <c r="C60" s="72"/>
      <c r="D60" s="64"/>
      <c r="E60" s="64"/>
      <c r="F60" s="83"/>
      <c r="G60" s="95"/>
      <c r="H60" s="96"/>
      <c r="I60" s="27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7"/>
    </row>
    <row r="61" spans="1:20" ht="32.25" thickBot="1">
      <c r="A61" s="64">
        <v>2</v>
      </c>
      <c r="B61" s="64">
        <v>2</v>
      </c>
      <c r="C61" s="72">
        <v>2</v>
      </c>
      <c r="D61" s="64"/>
      <c r="E61" s="64"/>
      <c r="F61" s="90" t="s">
        <v>39</v>
      </c>
      <c r="G61" s="75">
        <f>SUM(G62:G63)</f>
        <v>1275500</v>
      </c>
      <c r="H61" s="78">
        <f t="shared" ref="H61:T61" si="19">H62+H63</f>
        <v>0</v>
      </c>
      <c r="I61" s="32" t="e">
        <f t="shared" si="19"/>
        <v>#REF!</v>
      </c>
      <c r="J61" s="78">
        <f t="shared" si="19"/>
        <v>3325</v>
      </c>
      <c r="K61" s="78">
        <f t="shared" si="19"/>
        <v>7450</v>
      </c>
      <c r="L61" s="78">
        <f t="shared" si="19"/>
        <v>4760</v>
      </c>
      <c r="M61" s="78">
        <f t="shared" si="19"/>
        <v>0</v>
      </c>
      <c r="N61" s="91">
        <f t="shared" si="19"/>
        <v>165100</v>
      </c>
      <c r="O61" s="91">
        <f t="shared" si="19"/>
        <v>218610</v>
      </c>
      <c r="P61" s="91">
        <f t="shared" si="19"/>
        <v>10072</v>
      </c>
      <c r="Q61" s="91">
        <f t="shared" si="19"/>
        <v>0</v>
      </c>
      <c r="R61" s="91">
        <f t="shared" si="19"/>
        <v>234197.78</v>
      </c>
      <c r="S61" s="91">
        <f>S62+S63</f>
        <v>643514.78</v>
      </c>
      <c r="T61" s="116">
        <f t="shared" si="19"/>
        <v>631985.22</v>
      </c>
    </row>
    <row r="62" spans="1:20" ht="15.75">
      <c r="A62" s="64">
        <v>2</v>
      </c>
      <c r="B62" s="64">
        <v>2</v>
      </c>
      <c r="C62" s="72">
        <v>2</v>
      </c>
      <c r="D62" s="64">
        <v>1</v>
      </c>
      <c r="E62" s="64"/>
      <c r="F62" s="93" t="s">
        <v>40</v>
      </c>
      <c r="G62" s="94">
        <v>775500</v>
      </c>
      <c r="H62" s="99"/>
      <c r="I62" s="27" t="e">
        <f>+G62-#REF!</f>
        <v>#REF!</v>
      </c>
      <c r="J62" s="99">
        <v>3100</v>
      </c>
      <c r="K62" s="99">
        <v>3450</v>
      </c>
      <c r="L62" s="99">
        <v>0</v>
      </c>
      <c r="M62" s="99"/>
      <c r="N62" s="96">
        <v>165000</v>
      </c>
      <c r="O62" s="96"/>
      <c r="P62" s="96"/>
      <c r="Q62" s="96"/>
      <c r="R62" s="96">
        <f>1050+1933.58</f>
        <v>2983.58</v>
      </c>
      <c r="S62" s="88">
        <f>+H62+J62+K62+L62+M62+N62+O62+P62+Q62+R62</f>
        <v>174533.58</v>
      </c>
      <c r="T62" s="97">
        <f>+G62-S62</f>
        <v>600966.42000000004</v>
      </c>
    </row>
    <row r="63" spans="1:20" ht="15.75">
      <c r="A63" s="64">
        <v>2</v>
      </c>
      <c r="B63" s="64">
        <v>2</v>
      </c>
      <c r="C63" s="72">
        <v>2</v>
      </c>
      <c r="D63" s="64">
        <v>2</v>
      </c>
      <c r="E63" s="64"/>
      <c r="F63" s="93" t="s">
        <v>41</v>
      </c>
      <c r="G63" s="95">
        <v>500000</v>
      </c>
      <c r="H63" s="96"/>
      <c r="I63" s="27" t="e">
        <f>+G63-#REF!</f>
        <v>#REF!</v>
      </c>
      <c r="J63" s="96">
        <v>225</v>
      </c>
      <c r="K63" s="96">
        <v>4000</v>
      </c>
      <c r="L63" s="96">
        <v>4760</v>
      </c>
      <c r="M63" s="96"/>
      <c r="N63" s="96">
        <v>100</v>
      </c>
      <c r="O63" s="96">
        <v>218610</v>
      </c>
      <c r="P63" s="96">
        <v>10072</v>
      </c>
      <c r="Q63" s="96"/>
      <c r="R63" s="96">
        <f>15214.2+6000+210000</f>
        <v>231214.2</v>
      </c>
      <c r="S63" s="88">
        <f>+H63+J63+K63+L63+M63+N63+O63+P63+Q63+R63</f>
        <v>468981.2</v>
      </c>
      <c r="T63" s="97">
        <f>+G63-S63</f>
        <v>31018.799999999988</v>
      </c>
    </row>
    <row r="64" spans="1:20" ht="15.75">
      <c r="A64" s="64"/>
      <c r="B64" s="64"/>
      <c r="C64" s="72"/>
      <c r="D64" s="64"/>
      <c r="E64" s="64"/>
      <c r="F64" s="83"/>
      <c r="G64" s="95"/>
      <c r="H64" s="96"/>
      <c r="I64" s="27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7"/>
    </row>
    <row r="65" spans="1:20" ht="16.5" thickBot="1">
      <c r="A65" s="64">
        <v>2</v>
      </c>
      <c r="B65" s="64">
        <v>2</v>
      </c>
      <c r="C65" s="72">
        <v>3</v>
      </c>
      <c r="D65" s="64"/>
      <c r="E65" s="64"/>
      <c r="F65" s="90" t="s">
        <v>42</v>
      </c>
      <c r="G65" s="75">
        <f>G66+G67</f>
        <v>550000</v>
      </c>
      <c r="H65" s="91">
        <f>H66+H67</f>
        <v>0</v>
      </c>
      <c r="I65" s="25" t="e">
        <f>I66+I67</f>
        <v>#REF!</v>
      </c>
      <c r="J65" s="91">
        <f>J66+J67</f>
        <v>0</v>
      </c>
      <c r="K65" s="91">
        <f>K66+K67</f>
        <v>1600</v>
      </c>
      <c r="L65" s="91">
        <f t="shared" ref="L65:R65" si="20">L66+L67</f>
        <v>90183.12</v>
      </c>
      <c r="M65" s="91">
        <f t="shared" si="20"/>
        <v>130003.2</v>
      </c>
      <c r="N65" s="91">
        <f t="shared" si="20"/>
        <v>0</v>
      </c>
      <c r="O65" s="91">
        <f t="shared" si="20"/>
        <v>3000</v>
      </c>
      <c r="P65" s="91">
        <f t="shared" si="20"/>
        <v>5000</v>
      </c>
      <c r="Q65" s="91">
        <f t="shared" si="20"/>
        <v>2000</v>
      </c>
      <c r="R65" s="91">
        <f t="shared" si="20"/>
        <v>1000</v>
      </c>
      <c r="S65" s="91">
        <f>S66+S67</f>
        <v>232786.32</v>
      </c>
      <c r="T65" s="92">
        <f>T66+T67</f>
        <v>317213.68</v>
      </c>
    </row>
    <row r="66" spans="1:20" ht="15.75">
      <c r="A66" s="64">
        <v>2</v>
      </c>
      <c r="B66" s="64">
        <v>2</v>
      </c>
      <c r="C66" s="72">
        <v>3</v>
      </c>
      <c r="D66" s="64">
        <v>1</v>
      </c>
      <c r="E66" s="117"/>
      <c r="F66" s="93" t="s">
        <v>43</v>
      </c>
      <c r="G66" s="84"/>
      <c r="H66" s="85"/>
      <c r="I66" s="23" t="e">
        <f>+G66-#REF!</f>
        <v>#REF!</v>
      </c>
      <c r="J66" s="85"/>
      <c r="K66" s="99">
        <f>1000+300+300</f>
        <v>1600</v>
      </c>
      <c r="L66" s="99">
        <f>2000+500+1000+1000</f>
        <v>4500</v>
      </c>
      <c r="M66" s="99"/>
      <c r="N66" s="96"/>
      <c r="O66" s="96">
        <f>1500+1500</f>
        <v>3000</v>
      </c>
      <c r="P66" s="96">
        <f>2000+1000+2000</f>
        <v>5000</v>
      </c>
      <c r="Q66" s="96">
        <v>2000</v>
      </c>
      <c r="R66" s="96">
        <v>1000</v>
      </c>
      <c r="S66" s="88">
        <f>+H66+J66+K66+L66+M66+N66+O66+P66+Q66+R66</f>
        <v>17100</v>
      </c>
      <c r="T66" s="86">
        <f>+G66-S66</f>
        <v>-17100</v>
      </c>
    </row>
    <row r="67" spans="1:20" ht="15.75">
      <c r="A67" s="64">
        <v>2</v>
      </c>
      <c r="B67" s="64">
        <v>2</v>
      </c>
      <c r="C67" s="72">
        <v>3</v>
      </c>
      <c r="D67" s="64">
        <v>2</v>
      </c>
      <c r="E67" s="117"/>
      <c r="F67" s="93" t="s">
        <v>44</v>
      </c>
      <c r="G67" s="95">
        <v>550000</v>
      </c>
      <c r="H67" s="96"/>
      <c r="I67" s="27" t="e">
        <f>+G67-#REF!</f>
        <v>#REF!</v>
      </c>
      <c r="J67" s="96"/>
      <c r="K67" s="96"/>
      <c r="L67" s="96">
        <v>85683.12</v>
      </c>
      <c r="M67" s="96">
        <v>130003.2</v>
      </c>
      <c r="N67" s="96"/>
      <c r="O67" s="96"/>
      <c r="P67" s="96"/>
      <c r="Q67" s="96"/>
      <c r="R67" s="96"/>
      <c r="S67" s="88">
        <f>+H67+J67+K67+L67+M67+N67+O67+P67+Q67+R67</f>
        <v>215686.32</v>
      </c>
      <c r="T67" s="97">
        <f>+G67-S67</f>
        <v>334313.68</v>
      </c>
    </row>
    <row r="68" spans="1:20" ht="15.75">
      <c r="A68" s="64"/>
      <c r="B68" s="64"/>
      <c r="C68" s="72"/>
      <c r="D68" s="64"/>
      <c r="E68" s="64"/>
      <c r="F68" s="93"/>
      <c r="G68" s="95"/>
      <c r="H68" s="96"/>
      <c r="I68" s="27" t="e">
        <f>+G68-#REF!</f>
        <v>#REF!</v>
      </c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7">
        <f>+G68-S68</f>
        <v>0</v>
      </c>
    </row>
    <row r="69" spans="1:20" ht="16.5" thickBot="1">
      <c r="A69" s="64">
        <v>2</v>
      </c>
      <c r="B69" s="64">
        <v>2</v>
      </c>
      <c r="C69" s="72">
        <v>4</v>
      </c>
      <c r="D69" s="64"/>
      <c r="E69" s="64"/>
      <c r="F69" s="90" t="s">
        <v>45</v>
      </c>
      <c r="G69" s="75">
        <f>G70+G71</f>
        <v>280000</v>
      </c>
      <c r="H69" s="91">
        <f>H70+H71</f>
        <v>6910.99</v>
      </c>
      <c r="I69" s="25" t="e">
        <f>+G69-#REF!</f>
        <v>#REF!</v>
      </c>
      <c r="J69" s="91">
        <f>J70+J71</f>
        <v>1600</v>
      </c>
      <c r="K69" s="91">
        <f>K70+K71</f>
        <v>5688.34</v>
      </c>
      <c r="L69" s="91">
        <f t="shared" ref="L69:R69" si="21">L70+L71</f>
        <v>17923.03</v>
      </c>
      <c r="M69" s="91">
        <f t="shared" si="21"/>
        <v>35708.619999999995</v>
      </c>
      <c r="N69" s="91">
        <f t="shared" si="21"/>
        <v>4330.1899999999996</v>
      </c>
      <c r="O69" s="91">
        <f t="shared" si="21"/>
        <v>16143.07</v>
      </c>
      <c r="P69" s="91">
        <f t="shared" si="21"/>
        <v>95416.75</v>
      </c>
      <c r="Q69" s="91">
        <f t="shared" si="21"/>
        <v>14083.41</v>
      </c>
      <c r="R69" s="91">
        <f t="shared" si="21"/>
        <v>7913.63</v>
      </c>
      <c r="S69" s="91">
        <f>S70+S71</f>
        <v>205718.03</v>
      </c>
      <c r="T69" s="92">
        <f>T70+T71+T72</f>
        <v>74281.97</v>
      </c>
    </row>
    <row r="70" spans="1:20" ht="15.75">
      <c r="A70" s="64">
        <v>2</v>
      </c>
      <c r="B70" s="64">
        <v>2</v>
      </c>
      <c r="C70" s="72">
        <v>4</v>
      </c>
      <c r="D70" s="64">
        <v>1</v>
      </c>
      <c r="E70" s="64"/>
      <c r="F70" s="93" t="s">
        <v>46</v>
      </c>
      <c r="G70" s="94">
        <v>280000</v>
      </c>
      <c r="H70" s="96">
        <f>780+6130.99</f>
        <v>6910.99</v>
      </c>
      <c r="I70" s="27" t="e">
        <f>+G70-#REF!</f>
        <v>#REF!</v>
      </c>
      <c r="J70" s="96">
        <f>200+100+100+200+300+200+200+300</f>
        <v>1600</v>
      </c>
      <c r="K70" s="96">
        <f>4338.34+100+100+100+100+100+100+200+50+100+100+100+100+100</f>
        <v>5688.34</v>
      </c>
      <c r="L70" s="96">
        <f>10037.83+100+100+100+7585.2</f>
        <v>17923.03</v>
      </c>
      <c r="M70" s="96">
        <f>26358.62+6850+300+500+300+500+700+200</f>
        <v>35708.619999999995</v>
      </c>
      <c r="N70" s="99">
        <f>4130.19+100+100</f>
        <v>4330.1899999999996</v>
      </c>
      <c r="O70" s="99">
        <f>650+700+700+600+700+530+100+100+100+100+100+100+11663.07</f>
        <v>16143.07</v>
      </c>
      <c r="P70" s="99">
        <f>13990.31+77141.53+313.72+600+600+200+100+100+296.19+325+550+100+100+100+100+100+700</f>
        <v>95416.75</v>
      </c>
      <c r="Q70" s="99">
        <f>200+225+100+100+100+100+11008.42+1999.99+250</f>
        <v>14083.41</v>
      </c>
      <c r="R70" s="99">
        <f>230+100+100+100+100+100+100+700+6383.63</f>
        <v>7913.63</v>
      </c>
      <c r="S70" s="111">
        <f>+H70+J70+K70+L70+M70+N70+O70+P70+Q70+R70</f>
        <v>205718.03</v>
      </c>
      <c r="T70" s="97">
        <f>+G70-S70</f>
        <v>74281.97</v>
      </c>
    </row>
    <row r="71" spans="1:20" ht="15.75">
      <c r="A71" s="64">
        <v>2</v>
      </c>
      <c r="B71" s="64">
        <v>2</v>
      </c>
      <c r="C71" s="72">
        <v>4</v>
      </c>
      <c r="D71" s="64">
        <v>3</v>
      </c>
      <c r="E71" s="64"/>
      <c r="F71" s="93" t="s">
        <v>47</v>
      </c>
      <c r="G71" s="95"/>
      <c r="H71" s="96">
        <v>0</v>
      </c>
      <c r="I71" s="27" t="e">
        <f>+G71-#REF!</f>
        <v>#REF!</v>
      </c>
      <c r="J71" s="96">
        <v>0</v>
      </c>
      <c r="K71" s="96"/>
      <c r="L71" s="96"/>
      <c r="M71" s="96"/>
      <c r="N71" s="96"/>
      <c r="O71" s="96"/>
      <c r="P71" s="96"/>
      <c r="Q71" s="96"/>
      <c r="R71" s="96"/>
      <c r="S71" s="96">
        <f>+H71+J71+K71+L71+M71+N71+O71+P71+Q71+R71</f>
        <v>0</v>
      </c>
      <c r="T71" s="97">
        <f>+G71-S71</f>
        <v>0</v>
      </c>
    </row>
    <row r="72" spans="1:20" ht="15.75">
      <c r="A72" s="64"/>
      <c r="B72" s="64"/>
      <c r="C72" s="72"/>
      <c r="D72" s="64"/>
      <c r="E72" s="64"/>
      <c r="F72" s="93"/>
      <c r="G72" s="95"/>
      <c r="H72" s="96"/>
      <c r="I72" s="27" t="e">
        <f>+G72-#REF!</f>
        <v>#REF!</v>
      </c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7">
        <f>+G72-S72</f>
        <v>0</v>
      </c>
    </row>
    <row r="73" spans="1:20" ht="16.5" thickBot="1">
      <c r="A73" s="64">
        <v>2</v>
      </c>
      <c r="B73" s="64">
        <v>2</v>
      </c>
      <c r="C73" s="72">
        <v>5</v>
      </c>
      <c r="D73" s="64"/>
      <c r="E73" s="64"/>
      <c r="F73" s="90" t="s">
        <v>48</v>
      </c>
      <c r="G73" s="75">
        <f>G74+G79</f>
        <v>10004331</v>
      </c>
      <c r="H73" s="78">
        <f t="shared" ref="H73:T73" si="22">H76+H74</f>
        <v>792285.26</v>
      </c>
      <c r="I73" s="21" t="e">
        <f t="shared" si="22"/>
        <v>#REF!</v>
      </c>
      <c r="J73" s="78">
        <f t="shared" si="22"/>
        <v>801242.44</v>
      </c>
      <c r="K73" s="78">
        <f t="shared" si="22"/>
        <v>801396.64</v>
      </c>
      <c r="L73" s="78">
        <f t="shared" si="22"/>
        <v>806109.24</v>
      </c>
      <c r="M73" s="78">
        <f t="shared" si="22"/>
        <v>792121.59</v>
      </c>
      <c r="N73" s="91">
        <f t="shared" si="22"/>
        <v>806673.29</v>
      </c>
      <c r="O73" s="91">
        <f t="shared" si="22"/>
        <v>804889.16</v>
      </c>
      <c r="P73" s="91">
        <f t="shared" si="22"/>
        <v>810214.5</v>
      </c>
      <c r="Q73" s="91">
        <f t="shared" si="22"/>
        <v>813433.77999999991</v>
      </c>
      <c r="R73" s="91">
        <f t="shared" si="22"/>
        <v>818646.85</v>
      </c>
      <c r="S73" s="91">
        <f>S76+S74</f>
        <v>8047012.75</v>
      </c>
      <c r="T73" s="79">
        <f t="shared" si="22"/>
        <v>1957318.25</v>
      </c>
    </row>
    <row r="74" spans="1:20" ht="31.5">
      <c r="A74" s="64">
        <v>2</v>
      </c>
      <c r="B74" s="64">
        <v>2</v>
      </c>
      <c r="C74" s="72">
        <v>5</v>
      </c>
      <c r="D74" s="64">
        <v>1</v>
      </c>
      <c r="E74" s="64"/>
      <c r="F74" s="83" t="s">
        <v>49</v>
      </c>
      <c r="G74" s="94">
        <v>9685383</v>
      </c>
      <c r="H74" s="99">
        <f>17098.97+766926.29</f>
        <v>784025.26</v>
      </c>
      <c r="I74" s="28" t="e">
        <f>+G74-#REF!</f>
        <v>#REF!</v>
      </c>
      <c r="J74" s="99">
        <f>17294.32+775688.12</f>
        <v>792982.44</v>
      </c>
      <c r="K74" s="99">
        <f>17297.68+775838.96</f>
        <v>793136.64000000001</v>
      </c>
      <c r="L74" s="99">
        <f>17400.46+780448.78</f>
        <v>797849.24</v>
      </c>
      <c r="M74" s="99">
        <f>766766.19+17095.4</f>
        <v>783861.59</v>
      </c>
      <c r="N74" s="96">
        <f>17412.76+781000.53</f>
        <v>798413.29</v>
      </c>
      <c r="O74" s="96">
        <f>779255.31+17373.85</f>
        <v>796629.16</v>
      </c>
      <c r="P74" s="96">
        <f>784464.51+17489.99</f>
        <v>801954.5</v>
      </c>
      <c r="Q74" s="96">
        <f>787613.58+17560.2</f>
        <v>805173.77999999991</v>
      </c>
      <c r="R74" s="96">
        <f>792712.96+17673.89</f>
        <v>810386.85</v>
      </c>
      <c r="S74" s="88">
        <f>+H74+J74+K74+L74+M74+N74+O74+P74+Q74+R74</f>
        <v>7964412.75</v>
      </c>
      <c r="T74" s="100">
        <f>+G74-S74</f>
        <v>1720970.25</v>
      </c>
    </row>
    <row r="75" spans="1:20" ht="15.75">
      <c r="A75" s="64"/>
      <c r="B75" s="64"/>
      <c r="C75" s="72"/>
      <c r="D75" s="64"/>
      <c r="E75" s="117"/>
      <c r="F75" s="93"/>
      <c r="G75" s="95"/>
      <c r="H75" s="96"/>
      <c r="I75" s="27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7"/>
    </row>
    <row r="76" spans="1:20" ht="32.25" thickBot="1">
      <c r="A76" s="64">
        <v>2</v>
      </c>
      <c r="B76" s="64">
        <v>2</v>
      </c>
      <c r="C76" s="72">
        <v>5</v>
      </c>
      <c r="D76" s="64">
        <v>3</v>
      </c>
      <c r="E76" s="73"/>
      <c r="F76" s="90" t="s">
        <v>50</v>
      </c>
      <c r="G76" s="75">
        <f t="shared" ref="G76:T76" si="23">G77+G78+G79</f>
        <v>318948</v>
      </c>
      <c r="H76" s="91">
        <f t="shared" si="23"/>
        <v>8260</v>
      </c>
      <c r="I76" s="25" t="e">
        <f t="shared" si="23"/>
        <v>#REF!</v>
      </c>
      <c r="J76" s="91">
        <f t="shared" si="23"/>
        <v>8260</v>
      </c>
      <c r="K76" s="91">
        <f t="shared" si="23"/>
        <v>8260</v>
      </c>
      <c r="L76" s="91">
        <f t="shared" si="23"/>
        <v>8260</v>
      </c>
      <c r="M76" s="91">
        <f t="shared" si="23"/>
        <v>8260</v>
      </c>
      <c r="N76" s="91">
        <f t="shared" si="23"/>
        <v>8260</v>
      </c>
      <c r="O76" s="91">
        <f t="shared" si="23"/>
        <v>8260</v>
      </c>
      <c r="P76" s="91">
        <f t="shared" si="23"/>
        <v>8260</v>
      </c>
      <c r="Q76" s="91">
        <f t="shared" si="23"/>
        <v>8260</v>
      </c>
      <c r="R76" s="91">
        <f t="shared" si="23"/>
        <v>8260</v>
      </c>
      <c r="S76" s="91">
        <f>S77+S78+S79</f>
        <v>82600</v>
      </c>
      <c r="T76" s="92">
        <f t="shared" si="23"/>
        <v>236348</v>
      </c>
    </row>
    <row r="77" spans="1:20" ht="15.75">
      <c r="A77" s="64">
        <v>2</v>
      </c>
      <c r="B77" s="64">
        <v>2</v>
      </c>
      <c r="C77" s="72">
        <v>5</v>
      </c>
      <c r="D77" s="64">
        <v>3</v>
      </c>
      <c r="E77" s="64">
        <v>2</v>
      </c>
      <c r="F77" s="83" t="s">
        <v>51</v>
      </c>
      <c r="G77" s="94"/>
      <c r="H77" s="96">
        <v>0</v>
      </c>
      <c r="I77" s="27" t="e">
        <f>+G77-#REF!</f>
        <v>#REF!</v>
      </c>
      <c r="J77" s="96">
        <v>0</v>
      </c>
      <c r="K77" s="96"/>
      <c r="L77" s="96"/>
      <c r="M77" s="96"/>
      <c r="N77" s="96"/>
      <c r="O77" s="96"/>
      <c r="P77" s="96"/>
      <c r="Q77" s="96"/>
      <c r="R77" s="96"/>
      <c r="S77" s="88">
        <f>+H77+J77+K77+L77+M77+N77+O77+P77+Q77+R77</f>
        <v>0</v>
      </c>
      <c r="T77" s="97">
        <f>+G77-S77</f>
        <v>0</v>
      </c>
    </row>
    <row r="78" spans="1:20" ht="31.5">
      <c r="A78" s="64">
        <v>2</v>
      </c>
      <c r="B78" s="64">
        <v>2</v>
      </c>
      <c r="C78" s="72">
        <v>5</v>
      </c>
      <c r="D78" s="64">
        <v>3</v>
      </c>
      <c r="E78" s="64">
        <v>3</v>
      </c>
      <c r="F78" s="83" t="s">
        <v>52</v>
      </c>
      <c r="G78" s="95"/>
      <c r="H78" s="96"/>
      <c r="I78" s="27" t="e">
        <f>+G78-#REF!</f>
        <v>#REF!</v>
      </c>
      <c r="J78" s="96"/>
      <c r="K78" s="96"/>
      <c r="L78" s="96"/>
      <c r="M78" s="96"/>
      <c r="N78" s="96"/>
      <c r="O78" s="96"/>
      <c r="P78" s="96"/>
      <c r="Q78" s="96"/>
      <c r="R78" s="96"/>
      <c r="S78" s="88">
        <f>+H78+J78+K78+L78+M78+N78+O78+P78+Q78+R78</f>
        <v>0</v>
      </c>
      <c r="T78" s="97">
        <f>+G78-S78</f>
        <v>0</v>
      </c>
    </row>
    <row r="79" spans="1:20" ht="31.5">
      <c r="A79" s="64">
        <v>2</v>
      </c>
      <c r="B79" s="64">
        <v>2</v>
      </c>
      <c r="C79" s="72">
        <v>5</v>
      </c>
      <c r="D79" s="64">
        <v>3</v>
      </c>
      <c r="E79" s="64">
        <v>4</v>
      </c>
      <c r="F79" s="83" t="s">
        <v>53</v>
      </c>
      <c r="G79" s="95">
        <v>318948</v>
      </c>
      <c r="H79" s="96">
        <v>8260</v>
      </c>
      <c r="I79" s="27" t="e">
        <f>+G79-#REF!</f>
        <v>#REF!</v>
      </c>
      <c r="J79" s="96">
        <v>8260</v>
      </c>
      <c r="K79" s="96">
        <v>8260</v>
      </c>
      <c r="L79" s="96">
        <v>8260</v>
      </c>
      <c r="M79" s="96">
        <v>8260</v>
      </c>
      <c r="N79" s="96">
        <v>8260</v>
      </c>
      <c r="O79" s="96">
        <v>8260</v>
      </c>
      <c r="P79" s="96">
        <v>8260</v>
      </c>
      <c r="Q79" s="96">
        <v>8260</v>
      </c>
      <c r="R79" s="96">
        <v>8260</v>
      </c>
      <c r="S79" s="88">
        <f>+H79+J79+K79+L79+M79+N79+O79+P79+Q79+R79</f>
        <v>82600</v>
      </c>
      <c r="T79" s="97">
        <f>+G79-S79</f>
        <v>236348</v>
      </c>
    </row>
    <row r="80" spans="1:20" ht="16.5" thickBot="1">
      <c r="A80" s="64"/>
      <c r="B80" s="64"/>
      <c r="C80" s="72"/>
      <c r="D80" s="64"/>
      <c r="E80" s="64"/>
      <c r="F80" s="83"/>
      <c r="G80" s="95"/>
      <c r="H80" s="96"/>
      <c r="I80" s="27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7"/>
    </row>
    <row r="81" spans="1:20" s="2" customFormat="1" ht="16.5" thickBot="1">
      <c r="A81" s="64">
        <v>2</v>
      </c>
      <c r="B81" s="64">
        <v>2</v>
      </c>
      <c r="C81" s="72">
        <v>6</v>
      </c>
      <c r="D81" s="64"/>
      <c r="E81" s="64"/>
      <c r="F81" s="83" t="s">
        <v>54</v>
      </c>
      <c r="G81" s="102">
        <f t="shared" ref="G81:T81" si="24">G83+G82</f>
        <v>1593000</v>
      </c>
      <c r="H81" s="103">
        <f t="shared" si="24"/>
        <v>108478.82</v>
      </c>
      <c r="I81" s="103" t="e">
        <f t="shared" si="24"/>
        <v>#REF!</v>
      </c>
      <c r="J81" s="103">
        <f t="shared" si="24"/>
        <v>108478.82</v>
      </c>
      <c r="K81" s="103">
        <f t="shared" si="24"/>
        <v>191755.74</v>
      </c>
      <c r="L81" s="103">
        <f t="shared" si="24"/>
        <v>229933.34000000003</v>
      </c>
      <c r="M81" s="103">
        <f t="shared" si="24"/>
        <v>125469</v>
      </c>
      <c r="N81" s="103">
        <f t="shared" si="24"/>
        <v>125468.75</v>
      </c>
      <c r="O81" s="103">
        <f t="shared" si="24"/>
        <v>125468.75</v>
      </c>
      <c r="P81" s="103">
        <f t="shared" si="24"/>
        <v>125468.75</v>
      </c>
      <c r="Q81" s="103">
        <f t="shared" si="24"/>
        <v>125468.75</v>
      </c>
      <c r="R81" s="103">
        <f t="shared" si="24"/>
        <v>227024.85</v>
      </c>
      <c r="S81" s="103">
        <f t="shared" si="24"/>
        <v>1493015.57</v>
      </c>
      <c r="T81" s="118">
        <f t="shared" si="24"/>
        <v>99984.429999999877</v>
      </c>
    </row>
    <row r="82" spans="1:20" ht="16.5" thickBot="1">
      <c r="A82" s="119">
        <v>2</v>
      </c>
      <c r="B82" s="119">
        <v>2</v>
      </c>
      <c r="C82" s="120">
        <v>6</v>
      </c>
      <c r="D82" s="119">
        <v>2</v>
      </c>
      <c r="E82" s="119">
        <v>1</v>
      </c>
      <c r="F82" s="121" t="s">
        <v>108</v>
      </c>
      <c r="G82" s="122">
        <v>93000</v>
      </c>
      <c r="H82" s="81"/>
      <c r="I82" s="30" t="e">
        <f>+G82-#REF!</f>
        <v>#REF!</v>
      </c>
      <c r="J82" s="81"/>
      <c r="K82" s="81"/>
      <c r="L82" s="81">
        <f>101556.1</f>
        <v>101556.1</v>
      </c>
      <c r="M82" s="81"/>
      <c r="N82" s="81"/>
      <c r="O82" s="81"/>
      <c r="P82" s="81"/>
      <c r="Q82" s="81"/>
      <c r="R82" s="81">
        <v>101556.1</v>
      </c>
      <c r="S82" s="123">
        <f>+H82+J82+K82+L82+M82+N82+O82+P82+Q82+R82</f>
        <v>203112.2</v>
      </c>
      <c r="T82" s="114">
        <f>+G82-S82</f>
        <v>-110112.20000000001</v>
      </c>
    </row>
    <row r="83" spans="1:20" ht="15.75">
      <c r="A83" s="64">
        <v>2</v>
      </c>
      <c r="B83" s="64">
        <v>2</v>
      </c>
      <c r="C83" s="72">
        <v>6</v>
      </c>
      <c r="D83" s="64">
        <v>3</v>
      </c>
      <c r="E83" s="64">
        <v>1</v>
      </c>
      <c r="F83" s="83" t="s">
        <v>55</v>
      </c>
      <c r="G83" s="95">
        <v>1500000</v>
      </c>
      <c r="H83" s="96">
        <v>108478.82</v>
      </c>
      <c r="I83" s="27" t="e">
        <f>+G83-#REF!</f>
        <v>#REF!</v>
      </c>
      <c r="J83" s="96">
        <v>108478.82</v>
      </c>
      <c r="K83" s="96">
        <f>113089.65+39242.96+23071.9+16351.23</f>
        <v>191755.74</v>
      </c>
      <c r="L83" s="96">
        <f>112025.61+16351.63</f>
        <v>128377.24</v>
      </c>
      <c r="M83" s="96">
        <v>125469</v>
      </c>
      <c r="N83" s="96">
        <v>125468.75</v>
      </c>
      <c r="O83" s="96">
        <v>125468.75</v>
      </c>
      <c r="P83" s="96">
        <v>125468.75</v>
      </c>
      <c r="Q83" s="96">
        <v>125468.75</v>
      </c>
      <c r="R83" s="96">
        <v>125468.75</v>
      </c>
      <c r="S83" s="88">
        <f>+H83+J83+K83+L83+M83+N83+O83+P83+Q83+R83</f>
        <v>1289903.3700000001</v>
      </c>
      <c r="T83" s="97">
        <f>+G83-S83</f>
        <v>210096.62999999989</v>
      </c>
    </row>
    <row r="84" spans="1:20" ht="15.75">
      <c r="A84" s="64"/>
      <c r="B84" s="64"/>
      <c r="C84" s="72"/>
      <c r="D84" s="64"/>
      <c r="E84" s="64"/>
      <c r="F84" s="83"/>
      <c r="G84" s="95"/>
      <c r="H84" s="96">
        <v>0</v>
      </c>
      <c r="I84" s="27">
        <v>0</v>
      </c>
      <c r="J84" s="96">
        <v>0</v>
      </c>
      <c r="K84" s="96"/>
      <c r="L84" s="96"/>
      <c r="M84" s="96"/>
      <c r="N84" s="96"/>
      <c r="O84" s="96"/>
      <c r="P84" s="96"/>
      <c r="Q84" s="96"/>
      <c r="R84" s="96"/>
      <c r="S84" s="88">
        <f>+H84+J84+K84+L84+M84+N84+O84+P84+Q84+R84</f>
        <v>0</v>
      </c>
      <c r="T84" s="97">
        <f>+G84-S84</f>
        <v>0</v>
      </c>
    </row>
    <row r="85" spans="1:20" ht="48" thickBot="1">
      <c r="A85" s="64">
        <v>2</v>
      </c>
      <c r="B85" s="64">
        <v>2</v>
      </c>
      <c r="C85" s="72">
        <v>7</v>
      </c>
      <c r="D85" s="64"/>
      <c r="E85" s="73"/>
      <c r="F85" s="90" t="s">
        <v>56</v>
      </c>
      <c r="G85" s="124">
        <f>G86</f>
        <v>282000</v>
      </c>
      <c r="H85" s="78">
        <f>SUM(H87:H91)</f>
        <v>19800.52</v>
      </c>
      <c r="I85" s="78" t="e">
        <f>SUM(I87:I91)</f>
        <v>#REF!</v>
      </c>
      <c r="J85" s="78">
        <f>SUM(J87:J91)</f>
        <v>650</v>
      </c>
      <c r="K85" s="78">
        <f>SUM(K87:K91)</f>
        <v>0</v>
      </c>
      <c r="L85" s="78">
        <f t="shared" ref="L85:S85" si="25">SUM(L87:L91)</f>
        <v>4000</v>
      </c>
      <c r="M85" s="78">
        <f t="shared" si="25"/>
        <v>164125.1</v>
      </c>
      <c r="N85" s="78">
        <f t="shared" si="25"/>
        <v>9324.18</v>
      </c>
      <c r="O85" s="78">
        <f t="shared" si="25"/>
        <v>25214</v>
      </c>
      <c r="P85" s="78">
        <f t="shared" si="25"/>
        <v>1250</v>
      </c>
      <c r="Q85" s="78">
        <f t="shared" si="25"/>
        <v>111149.12</v>
      </c>
      <c r="R85" s="78">
        <f t="shared" si="25"/>
        <v>51546.35</v>
      </c>
      <c r="S85" s="78">
        <f t="shared" si="25"/>
        <v>387059.27</v>
      </c>
      <c r="T85" s="79">
        <f>SUM(T87:T92)</f>
        <v>-105059.26999999999</v>
      </c>
    </row>
    <row r="86" spans="1:20" ht="32.25" thickBot="1">
      <c r="A86" s="64">
        <v>2</v>
      </c>
      <c r="B86" s="64">
        <v>2</v>
      </c>
      <c r="C86" s="72">
        <v>7</v>
      </c>
      <c r="D86" s="64">
        <v>2</v>
      </c>
      <c r="E86" s="73"/>
      <c r="F86" s="90" t="s">
        <v>57</v>
      </c>
      <c r="G86" s="102">
        <f>SUM(G88:G91)</f>
        <v>282000</v>
      </c>
      <c r="H86" s="125">
        <f>SUM(H87:H91)</f>
        <v>19800.52</v>
      </c>
      <c r="I86" s="125" t="e">
        <f>SUM(I87:I91)</f>
        <v>#REF!</v>
      </c>
      <c r="J86" s="125">
        <f>SUM(J87:J91)</f>
        <v>650</v>
      </c>
      <c r="K86" s="125">
        <f>SUM(K87:K91)</f>
        <v>0</v>
      </c>
      <c r="L86" s="125">
        <f>SUM(L87:L91)</f>
        <v>4000</v>
      </c>
      <c r="M86" s="125">
        <f t="shared" ref="M86:R86" si="26">SUM(M87:M91)</f>
        <v>164125.1</v>
      </c>
      <c r="N86" s="125">
        <f t="shared" si="26"/>
        <v>9324.18</v>
      </c>
      <c r="O86" s="125">
        <f t="shared" si="26"/>
        <v>25214</v>
      </c>
      <c r="P86" s="125">
        <f t="shared" si="26"/>
        <v>1250</v>
      </c>
      <c r="Q86" s="125">
        <f t="shared" si="26"/>
        <v>111149.12</v>
      </c>
      <c r="R86" s="125">
        <f t="shared" si="26"/>
        <v>51546.35</v>
      </c>
      <c r="S86" s="125">
        <f>SUM(S87:S91)</f>
        <v>387059.27</v>
      </c>
      <c r="T86" s="126">
        <f>SUM(T87:T91)</f>
        <v>-105059.26999999999</v>
      </c>
    </row>
    <row r="87" spans="1:20" ht="31.5">
      <c r="A87" s="64">
        <v>2</v>
      </c>
      <c r="B87" s="64">
        <v>2</v>
      </c>
      <c r="C87" s="72">
        <v>7</v>
      </c>
      <c r="D87" s="64">
        <v>1</v>
      </c>
      <c r="E87" s="117">
        <v>2</v>
      </c>
      <c r="F87" s="127" t="s">
        <v>120</v>
      </c>
      <c r="G87" s="124"/>
      <c r="H87" s="128"/>
      <c r="I87" s="27" t="e">
        <f>+G87-#REF!</f>
        <v>#REF!</v>
      </c>
      <c r="J87" s="128"/>
      <c r="K87" s="128"/>
      <c r="L87" s="129">
        <f>2000+1500</f>
        <v>3500</v>
      </c>
      <c r="M87" s="129">
        <v>164125.1</v>
      </c>
      <c r="N87" s="130">
        <v>9324.18</v>
      </c>
      <c r="O87" s="131"/>
      <c r="P87" s="131"/>
      <c r="Q87" s="130">
        <f>12390+21876.65</f>
        <v>34266.65</v>
      </c>
      <c r="R87" s="130">
        <v>600</v>
      </c>
      <c r="S87" s="111">
        <f>+H87+J87+K87+L87+M87+N87+O87+P87+Q87+R87</f>
        <v>211815.93</v>
      </c>
      <c r="T87" s="97">
        <f>+G87-S87</f>
        <v>-211815.93</v>
      </c>
    </row>
    <row r="88" spans="1:20" ht="47.25">
      <c r="A88" s="64">
        <v>2</v>
      </c>
      <c r="B88" s="64">
        <v>2</v>
      </c>
      <c r="C88" s="72">
        <v>7</v>
      </c>
      <c r="D88" s="64">
        <v>2</v>
      </c>
      <c r="E88" s="117">
        <v>2</v>
      </c>
      <c r="F88" s="127" t="s">
        <v>58</v>
      </c>
      <c r="G88" s="95">
        <v>40000</v>
      </c>
      <c r="H88" s="96">
        <v>0</v>
      </c>
      <c r="I88" s="27" t="e">
        <f>+G88-#REF!</f>
        <v>#REF!</v>
      </c>
      <c r="J88" s="96">
        <v>0</v>
      </c>
      <c r="K88" s="96"/>
      <c r="L88" s="96"/>
      <c r="M88" s="96"/>
      <c r="N88" s="96"/>
      <c r="O88" s="96">
        <v>23364</v>
      </c>
      <c r="P88" s="96"/>
      <c r="Q88" s="96"/>
      <c r="R88" s="96">
        <f>22700+11085.93</f>
        <v>33785.93</v>
      </c>
      <c r="S88" s="88">
        <f>+H88+J88+K88+L88+M88+N88+O88+P88+Q88+R88</f>
        <v>57149.93</v>
      </c>
      <c r="T88" s="97">
        <f>+G88-S88</f>
        <v>-17149.93</v>
      </c>
    </row>
    <row r="89" spans="1:20" ht="47.25">
      <c r="A89" s="64">
        <v>2</v>
      </c>
      <c r="B89" s="64">
        <v>2</v>
      </c>
      <c r="C89" s="72">
        <v>7</v>
      </c>
      <c r="D89" s="64">
        <v>2</v>
      </c>
      <c r="E89" s="117">
        <v>3</v>
      </c>
      <c r="F89" s="127" t="s">
        <v>59</v>
      </c>
      <c r="G89" s="95"/>
      <c r="H89" s="96">
        <f>G89*12</f>
        <v>0</v>
      </c>
      <c r="I89" s="27" t="e">
        <f>+G89-#REF!</f>
        <v>#REF!</v>
      </c>
      <c r="J89" s="96"/>
      <c r="K89" s="96"/>
      <c r="L89" s="96"/>
      <c r="M89" s="96"/>
      <c r="N89" s="96"/>
      <c r="O89" s="96"/>
      <c r="P89" s="96"/>
      <c r="Q89" s="96"/>
      <c r="R89" s="96"/>
      <c r="S89" s="88">
        <f t="shared" ref="S89:S90" si="27">+H89+J89+K89+L89+M89+N89+O89+P89+Q89+R89</f>
        <v>0</v>
      </c>
      <c r="T89" s="97">
        <f>+G89-S89</f>
        <v>0</v>
      </c>
    </row>
    <row r="90" spans="1:20" ht="47.25">
      <c r="A90" s="64">
        <v>2</v>
      </c>
      <c r="B90" s="64">
        <v>2</v>
      </c>
      <c r="C90" s="72">
        <v>7</v>
      </c>
      <c r="D90" s="64">
        <v>2</v>
      </c>
      <c r="E90" s="117">
        <v>4</v>
      </c>
      <c r="F90" s="127" t="s">
        <v>60</v>
      </c>
      <c r="G90" s="95">
        <v>92000</v>
      </c>
      <c r="H90" s="96"/>
      <c r="I90" s="27" t="e">
        <f>+G90-#REF!</f>
        <v>#REF!</v>
      </c>
      <c r="J90" s="96"/>
      <c r="K90" s="96"/>
      <c r="L90" s="96"/>
      <c r="M90" s="96"/>
      <c r="N90" s="96"/>
      <c r="O90" s="96"/>
      <c r="P90" s="96"/>
      <c r="Q90" s="96"/>
      <c r="R90" s="96"/>
      <c r="S90" s="88">
        <f t="shared" si="27"/>
        <v>0</v>
      </c>
      <c r="T90" s="97">
        <f>+G90-S90</f>
        <v>92000</v>
      </c>
    </row>
    <row r="91" spans="1:20" ht="47.25">
      <c r="A91" s="64">
        <v>2</v>
      </c>
      <c r="B91" s="64">
        <v>2</v>
      </c>
      <c r="C91" s="72">
        <v>7</v>
      </c>
      <c r="D91" s="64">
        <v>2</v>
      </c>
      <c r="E91" s="117">
        <v>6</v>
      </c>
      <c r="F91" s="127" t="s">
        <v>61</v>
      </c>
      <c r="G91" s="95">
        <v>150000</v>
      </c>
      <c r="H91" s="96">
        <f>9670.1+9530.42+600</f>
        <v>19800.52</v>
      </c>
      <c r="I91" s="27" t="e">
        <f>+G91-#REF!</f>
        <v>#REF!</v>
      </c>
      <c r="J91" s="96">
        <v>650</v>
      </c>
      <c r="K91" s="96"/>
      <c r="L91" s="96">
        <v>500</v>
      </c>
      <c r="M91" s="128"/>
      <c r="N91" s="128"/>
      <c r="O91" s="129">
        <f>600+600+650</f>
        <v>1850</v>
      </c>
      <c r="P91" s="129">
        <f>100+550+600</f>
        <v>1250</v>
      </c>
      <c r="Q91" s="129">
        <f>46414.28+29168.19+550+100+100+550</f>
        <v>76882.47</v>
      </c>
      <c r="R91" s="129">
        <f>100+600+100+550+15810.42</f>
        <v>17160.419999999998</v>
      </c>
      <c r="S91" s="88">
        <f>+H91+J91+K91+L91+M91+N91+O91+P91+Q91+R91</f>
        <v>118093.41</v>
      </c>
      <c r="T91" s="97">
        <f>+G91-S91</f>
        <v>31906.589999999997</v>
      </c>
    </row>
    <row r="92" spans="1:20" ht="15.75">
      <c r="A92" s="64"/>
      <c r="B92" s="64"/>
      <c r="C92" s="72"/>
      <c r="D92" s="64"/>
      <c r="E92" s="117"/>
      <c r="F92" s="93"/>
      <c r="G92" s="95"/>
      <c r="H92" s="96"/>
      <c r="I92" s="27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7"/>
    </row>
    <row r="93" spans="1:20" ht="32.25" thickBot="1">
      <c r="A93" s="64">
        <v>2</v>
      </c>
      <c r="B93" s="64">
        <v>2</v>
      </c>
      <c r="C93" s="72">
        <v>8</v>
      </c>
      <c r="D93" s="64"/>
      <c r="E93" s="73"/>
      <c r="F93" s="90" t="s">
        <v>62</v>
      </c>
      <c r="G93" s="124">
        <f>SUM(G94+G95)+G97+G102</f>
        <v>10387302</v>
      </c>
      <c r="H93" s="78">
        <f>H94+H95+H97+H102</f>
        <v>256177.13999999998</v>
      </c>
      <c r="I93" s="21" t="e">
        <f t="shared" ref="I93:T93" si="28">I94+I95+I97+I102</f>
        <v>#REF!</v>
      </c>
      <c r="J93" s="78">
        <f t="shared" si="28"/>
        <v>436592.42</v>
      </c>
      <c r="K93" s="78">
        <f t="shared" si="28"/>
        <v>418896.86999999994</v>
      </c>
      <c r="L93" s="78">
        <f t="shared" si="28"/>
        <v>742049.15</v>
      </c>
      <c r="M93" s="78">
        <f t="shared" si="28"/>
        <v>558299.6</v>
      </c>
      <c r="N93" s="91">
        <f t="shared" si="28"/>
        <v>541933.75000000012</v>
      </c>
      <c r="O93" s="91">
        <f t="shared" si="28"/>
        <v>549163.19999999995</v>
      </c>
      <c r="P93" s="91">
        <f t="shared" si="28"/>
        <v>392446.31</v>
      </c>
      <c r="Q93" s="91">
        <f t="shared" si="28"/>
        <v>471438.72000000003</v>
      </c>
      <c r="R93" s="91">
        <f t="shared" si="28"/>
        <v>538523.17000000004</v>
      </c>
      <c r="S93" s="91">
        <f>S94+S95+S97+S102</f>
        <v>4905520.3299999991</v>
      </c>
      <c r="T93" s="79">
        <f t="shared" si="28"/>
        <v>5481781.6700000009</v>
      </c>
    </row>
    <row r="94" spans="1:20" ht="31.5">
      <c r="A94" s="64">
        <v>2</v>
      </c>
      <c r="B94" s="64">
        <v>2</v>
      </c>
      <c r="C94" s="72">
        <v>8</v>
      </c>
      <c r="D94" s="64">
        <v>2</v>
      </c>
      <c r="E94" s="117"/>
      <c r="F94" s="132" t="s">
        <v>63</v>
      </c>
      <c r="G94" s="94">
        <v>102000</v>
      </c>
      <c r="H94" s="99">
        <v>5155.28</v>
      </c>
      <c r="I94" s="28" t="e">
        <f>+G94-#REF!</f>
        <v>#REF!</v>
      </c>
      <c r="J94" s="99">
        <v>4982.54</v>
      </c>
      <c r="K94" s="99">
        <v>5146.79</v>
      </c>
      <c r="L94" s="99">
        <v>6349.16</v>
      </c>
      <c r="M94" s="99">
        <v>6493.55</v>
      </c>
      <c r="N94" s="96">
        <v>10422.81</v>
      </c>
      <c r="O94" s="96">
        <f>120+6385.2</f>
        <v>6505.2</v>
      </c>
      <c r="P94" s="96">
        <f>120+7402.11</f>
        <v>7522.11</v>
      </c>
      <c r="Q94" s="96">
        <f>60+120+120+6811</f>
        <v>7111</v>
      </c>
      <c r="R94" s="96">
        <v>7194.27</v>
      </c>
      <c r="S94" s="88">
        <f>+H94+J94+K94+L94+M94+N94+O94+P94+Q94+R94</f>
        <v>66882.709999999992</v>
      </c>
      <c r="T94" s="100">
        <f>+G94-S94</f>
        <v>35117.290000000008</v>
      </c>
    </row>
    <row r="95" spans="1:20" ht="31.5">
      <c r="A95" s="64">
        <v>2</v>
      </c>
      <c r="B95" s="64">
        <v>2</v>
      </c>
      <c r="C95" s="72">
        <v>8</v>
      </c>
      <c r="D95" s="64">
        <v>4</v>
      </c>
      <c r="E95" s="64"/>
      <c r="F95" s="132" t="s">
        <v>64</v>
      </c>
      <c r="G95" s="95">
        <v>0</v>
      </c>
      <c r="H95" s="96">
        <v>0</v>
      </c>
      <c r="I95" s="27">
        <v>0</v>
      </c>
      <c r="J95" s="96">
        <v>0</v>
      </c>
      <c r="K95" s="96"/>
      <c r="L95" s="96">
        <v>11800</v>
      </c>
      <c r="M95" s="96"/>
      <c r="N95" s="96"/>
      <c r="O95" s="96"/>
      <c r="P95" s="96"/>
      <c r="Q95" s="96"/>
      <c r="R95" s="96">
        <v>11800</v>
      </c>
      <c r="S95" s="88">
        <f>+H95+J95+K95+L95+M95+N95+O95+P95+Q95+R95</f>
        <v>23600</v>
      </c>
      <c r="T95" s="97">
        <f>+G95-S95</f>
        <v>-23600</v>
      </c>
    </row>
    <row r="96" spans="1:20" ht="15.75">
      <c r="A96" s="64"/>
      <c r="B96" s="64"/>
      <c r="C96" s="72"/>
      <c r="D96" s="64"/>
      <c r="E96" s="64"/>
      <c r="F96" s="132"/>
      <c r="G96" s="95"/>
      <c r="H96" s="96"/>
      <c r="I96" s="27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7"/>
    </row>
    <row r="97" spans="1:20" ht="32.25" thickBot="1">
      <c r="A97" s="64">
        <v>2</v>
      </c>
      <c r="B97" s="64">
        <v>2</v>
      </c>
      <c r="C97" s="72">
        <v>8</v>
      </c>
      <c r="D97" s="64">
        <v>6</v>
      </c>
      <c r="E97" s="73"/>
      <c r="F97" s="133" t="s">
        <v>65</v>
      </c>
      <c r="G97" s="124">
        <f t="shared" ref="G97:Q97" si="29">G98+G99</f>
        <v>4547575</v>
      </c>
      <c r="H97" s="115">
        <f t="shared" si="29"/>
        <v>0</v>
      </c>
      <c r="I97" s="31" t="e">
        <f t="shared" si="29"/>
        <v>#REF!</v>
      </c>
      <c r="J97" s="115">
        <f t="shared" si="29"/>
        <v>0</v>
      </c>
      <c r="K97" s="115">
        <f t="shared" si="29"/>
        <v>0</v>
      </c>
      <c r="L97" s="115">
        <f t="shared" si="29"/>
        <v>2555</v>
      </c>
      <c r="M97" s="115">
        <f t="shared" si="29"/>
        <v>20746.650000000001</v>
      </c>
      <c r="N97" s="115">
        <f t="shared" si="29"/>
        <v>0</v>
      </c>
      <c r="O97" s="115">
        <f t="shared" si="29"/>
        <v>30550</v>
      </c>
      <c r="P97" s="115">
        <f t="shared" si="29"/>
        <v>0</v>
      </c>
      <c r="Q97" s="115">
        <f t="shared" si="29"/>
        <v>2679.99</v>
      </c>
      <c r="R97" s="115">
        <f>R98+R99+R100</f>
        <v>89678.25</v>
      </c>
      <c r="S97" s="115">
        <f>S98+S99+S100</f>
        <v>146209.89000000001</v>
      </c>
      <c r="T97" s="110">
        <f>T98+T99+T100</f>
        <v>4401365.1100000003</v>
      </c>
    </row>
    <row r="98" spans="1:20" ht="15.75">
      <c r="A98" s="64">
        <v>2</v>
      </c>
      <c r="B98" s="64">
        <v>2</v>
      </c>
      <c r="C98" s="72">
        <v>8</v>
      </c>
      <c r="D98" s="64">
        <v>6</v>
      </c>
      <c r="E98" s="64">
        <v>1</v>
      </c>
      <c r="F98" s="132" t="s">
        <v>66</v>
      </c>
      <c r="G98" s="130">
        <f>4472000-74425</f>
        <v>4397575</v>
      </c>
      <c r="H98" s="99">
        <v>0</v>
      </c>
      <c r="I98" s="27" t="e">
        <f>+G98-#REF!</f>
        <v>#REF!</v>
      </c>
      <c r="J98" s="99">
        <v>0</v>
      </c>
      <c r="K98" s="99"/>
      <c r="L98" s="99"/>
      <c r="M98" s="99"/>
      <c r="N98" s="96"/>
      <c r="O98" s="96"/>
      <c r="P98" s="96"/>
      <c r="Q98" s="96"/>
      <c r="R98" s="96"/>
      <c r="S98" s="88">
        <f>+H98+J98+K98+L98+M98+N98+O98+P98+Q98+R98</f>
        <v>0</v>
      </c>
      <c r="T98" s="97">
        <f>+G98-S98</f>
        <v>4397575</v>
      </c>
    </row>
    <row r="99" spans="1:20" ht="15.75">
      <c r="A99" s="64">
        <v>2</v>
      </c>
      <c r="B99" s="64">
        <v>2</v>
      </c>
      <c r="C99" s="72">
        <v>8</v>
      </c>
      <c r="D99" s="64">
        <v>6</v>
      </c>
      <c r="E99" s="64">
        <v>2</v>
      </c>
      <c r="F99" s="132" t="s">
        <v>67</v>
      </c>
      <c r="G99" s="95">
        <v>150000</v>
      </c>
      <c r="H99" s="96"/>
      <c r="I99" s="27" t="e">
        <f>+G99-#REF!</f>
        <v>#REF!</v>
      </c>
      <c r="J99" s="96"/>
      <c r="K99" s="96"/>
      <c r="L99" s="96">
        <f>2175+380</f>
        <v>2555</v>
      </c>
      <c r="M99" s="96">
        <f>15620+529.95+1644.7+120+2832</f>
        <v>20746.650000000001</v>
      </c>
      <c r="N99" s="96"/>
      <c r="O99" s="96">
        <f>25900+400+4250</f>
        <v>30550</v>
      </c>
      <c r="P99" s="96"/>
      <c r="Q99" s="96">
        <f>1549.99+780+350</f>
        <v>2679.99</v>
      </c>
      <c r="R99" s="96">
        <f>1600+1600</f>
        <v>3200</v>
      </c>
      <c r="S99" s="88">
        <f>+H99+J99+K99+L99+M99+N99+O99+P99+Q99+R99</f>
        <v>59731.64</v>
      </c>
      <c r="T99" s="97">
        <f>+G99-S99</f>
        <v>90268.36</v>
      </c>
    </row>
    <row r="100" spans="1:20" ht="15.75">
      <c r="A100" s="64">
        <v>2</v>
      </c>
      <c r="B100" s="64">
        <v>2</v>
      </c>
      <c r="C100" s="72">
        <v>8</v>
      </c>
      <c r="D100" s="64">
        <v>6</v>
      </c>
      <c r="E100" s="64">
        <v>3</v>
      </c>
      <c r="F100" s="132" t="s">
        <v>143</v>
      </c>
      <c r="G100" s="95"/>
      <c r="H100" s="96"/>
      <c r="I100" s="27"/>
      <c r="J100" s="96"/>
      <c r="K100" s="96"/>
      <c r="L100" s="96"/>
      <c r="M100" s="96"/>
      <c r="N100" s="96"/>
      <c r="O100" s="96"/>
      <c r="P100" s="96"/>
      <c r="Q100" s="96"/>
      <c r="R100" s="96">
        <f>2100.05+800+53100+88.2+400+600+750+750+600+800+850+600+750+1100+600+600+750+21240</f>
        <v>86478.25</v>
      </c>
      <c r="S100" s="88">
        <f>+H100+J100+K100+L100+M100+N100+O100+P100+Q100+R100</f>
        <v>86478.25</v>
      </c>
      <c r="T100" s="97">
        <f>+G100-S100</f>
        <v>-86478.25</v>
      </c>
    </row>
    <row r="101" spans="1:20" ht="15.75">
      <c r="A101" s="64"/>
      <c r="B101" s="64"/>
      <c r="C101" s="72"/>
      <c r="D101" s="64"/>
      <c r="E101" s="64"/>
      <c r="F101" s="132"/>
      <c r="G101" s="95"/>
      <c r="H101" s="96">
        <v>0</v>
      </c>
      <c r="I101" s="27">
        <v>0</v>
      </c>
      <c r="J101" s="96">
        <v>0</v>
      </c>
      <c r="K101" s="96"/>
      <c r="L101" s="96"/>
      <c r="M101" s="96"/>
      <c r="N101" s="96"/>
      <c r="O101" s="96"/>
      <c r="P101" s="96"/>
      <c r="Q101" s="96"/>
      <c r="R101" s="96"/>
      <c r="S101" s="96"/>
      <c r="T101" s="97"/>
    </row>
    <row r="102" spans="1:20" ht="32.25" thickBot="1">
      <c r="A102" s="64">
        <v>2</v>
      </c>
      <c r="B102" s="64">
        <v>2</v>
      </c>
      <c r="C102" s="72">
        <v>8</v>
      </c>
      <c r="D102" s="64">
        <v>7</v>
      </c>
      <c r="E102" s="73"/>
      <c r="F102" s="133" t="s">
        <v>68</v>
      </c>
      <c r="G102" s="134">
        <f t="shared" ref="G102:T102" si="30">G103+G104+G105+G106+G107</f>
        <v>5737727</v>
      </c>
      <c r="H102" s="98">
        <f t="shared" si="30"/>
        <v>251021.86</v>
      </c>
      <c r="I102" s="21" t="e">
        <f t="shared" si="30"/>
        <v>#REF!</v>
      </c>
      <c r="J102" s="98">
        <f t="shared" si="30"/>
        <v>431609.88</v>
      </c>
      <c r="K102" s="98">
        <f t="shared" si="30"/>
        <v>413750.07999999996</v>
      </c>
      <c r="L102" s="98">
        <f t="shared" si="30"/>
        <v>721344.99</v>
      </c>
      <c r="M102" s="98">
        <f t="shared" si="30"/>
        <v>531059.4</v>
      </c>
      <c r="N102" s="98">
        <f t="shared" si="30"/>
        <v>531510.94000000006</v>
      </c>
      <c r="O102" s="98">
        <f t="shared" si="30"/>
        <v>512108</v>
      </c>
      <c r="P102" s="98">
        <f t="shared" si="30"/>
        <v>384924.2</v>
      </c>
      <c r="Q102" s="98">
        <f t="shared" si="30"/>
        <v>461647.73000000004</v>
      </c>
      <c r="R102" s="98">
        <f t="shared" si="30"/>
        <v>429850.65</v>
      </c>
      <c r="S102" s="98">
        <f t="shared" si="30"/>
        <v>4668827.7299999995</v>
      </c>
      <c r="T102" s="79">
        <f t="shared" si="30"/>
        <v>1068899.2700000005</v>
      </c>
    </row>
    <row r="103" spans="1:20" ht="31.5">
      <c r="A103" s="64">
        <v>2</v>
      </c>
      <c r="B103" s="64">
        <v>2</v>
      </c>
      <c r="C103" s="72">
        <v>8</v>
      </c>
      <c r="D103" s="64">
        <v>7</v>
      </c>
      <c r="E103" s="64">
        <v>1</v>
      </c>
      <c r="F103" s="93" t="s">
        <v>69</v>
      </c>
      <c r="G103" s="95">
        <f>1800000-69423</f>
        <v>1730577</v>
      </c>
      <c r="H103" s="96">
        <v>0</v>
      </c>
      <c r="I103" s="28" t="e">
        <f>+G103-#REF!</f>
        <v>#REF!</v>
      </c>
      <c r="J103" s="96">
        <v>0</v>
      </c>
      <c r="K103" s="96"/>
      <c r="L103" s="96"/>
      <c r="M103" s="96"/>
      <c r="N103" s="96"/>
      <c r="O103" s="96"/>
      <c r="P103" s="96"/>
      <c r="Q103" s="96"/>
      <c r="R103" s="96"/>
      <c r="S103" s="88">
        <f>+H103+J103+K103+L103+M103+N103+O103+P103+Q103+R103</f>
        <v>0</v>
      </c>
      <c r="T103" s="100">
        <f>+G103-S103</f>
        <v>1730577</v>
      </c>
    </row>
    <row r="104" spans="1:20" ht="31.5">
      <c r="A104" s="64">
        <v>2</v>
      </c>
      <c r="B104" s="64">
        <v>2</v>
      </c>
      <c r="C104" s="72">
        <v>8</v>
      </c>
      <c r="D104" s="64">
        <v>7</v>
      </c>
      <c r="E104" s="117">
        <v>3</v>
      </c>
      <c r="F104" s="93" t="s">
        <v>70</v>
      </c>
      <c r="G104" s="95">
        <v>300000</v>
      </c>
      <c r="H104" s="96"/>
      <c r="I104" s="33" t="e">
        <f>+G104-#REF!</f>
        <v>#REF!</v>
      </c>
      <c r="J104" s="96"/>
      <c r="K104" s="96">
        <v>48000</v>
      </c>
      <c r="L104" s="96"/>
      <c r="M104" s="96">
        <v>192000</v>
      </c>
      <c r="N104" s="96"/>
      <c r="O104" s="96"/>
      <c r="P104" s="96"/>
      <c r="Q104" s="96"/>
      <c r="R104" s="96"/>
      <c r="S104" s="88">
        <f>+H104+J104+K104+L104+M104+N104+O104+P104+Q104+R104</f>
        <v>240000</v>
      </c>
      <c r="T104" s="135">
        <f>+G104-S104</f>
        <v>60000</v>
      </c>
    </row>
    <row r="105" spans="1:20" ht="15.75">
      <c r="A105" s="64">
        <v>2</v>
      </c>
      <c r="B105" s="64">
        <v>2</v>
      </c>
      <c r="C105" s="72">
        <v>8</v>
      </c>
      <c r="D105" s="64">
        <v>7</v>
      </c>
      <c r="E105" s="64">
        <v>4</v>
      </c>
      <c r="F105" s="93" t="s">
        <v>71</v>
      </c>
      <c r="G105" s="95">
        <v>225000</v>
      </c>
      <c r="H105" s="96">
        <v>10000</v>
      </c>
      <c r="I105" s="33" t="e">
        <f>+G105-#REF!</f>
        <v>#REF!</v>
      </c>
      <c r="J105" s="96"/>
      <c r="K105" s="96">
        <v>5000</v>
      </c>
      <c r="L105" s="96">
        <v>16640</v>
      </c>
      <c r="M105" s="96">
        <v>11700</v>
      </c>
      <c r="N105" s="96"/>
      <c r="O105" s="96"/>
      <c r="P105" s="96">
        <v>14800</v>
      </c>
      <c r="Q105" s="96"/>
      <c r="R105" s="96"/>
      <c r="S105" s="88">
        <f t="shared" ref="S105:S107" si="31">+H105+J105+K105+L105+M105+N105+O105+P105+Q105+R105</f>
        <v>58140</v>
      </c>
      <c r="T105" s="135">
        <f>+G105-S105</f>
        <v>166860</v>
      </c>
    </row>
    <row r="106" spans="1:20" ht="31.5">
      <c r="A106" s="64">
        <v>2</v>
      </c>
      <c r="B106" s="64">
        <v>2</v>
      </c>
      <c r="C106" s="72">
        <v>8</v>
      </c>
      <c r="D106" s="64">
        <v>7</v>
      </c>
      <c r="E106" s="64">
        <v>5</v>
      </c>
      <c r="F106" s="93" t="s">
        <v>72</v>
      </c>
      <c r="G106" s="95">
        <v>494750</v>
      </c>
      <c r="H106" s="96">
        <v>3233.36</v>
      </c>
      <c r="I106" s="33" t="e">
        <f>+G106-#REF!</f>
        <v>#REF!</v>
      </c>
      <c r="J106" s="96"/>
      <c r="K106" s="96">
        <v>5655.28</v>
      </c>
      <c r="L106" s="96">
        <v>51829.599999999999</v>
      </c>
      <c r="M106" s="96">
        <v>4770.8999999999996</v>
      </c>
      <c r="N106" s="96">
        <v>4811.3999999999996</v>
      </c>
      <c r="O106" s="96">
        <f>4819.5</f>
        <v>4819.5</v>
      </c>
      <c r="P106" s="96">
        <v>4835.7</v>
      </c>
      <c r="Q106" s="96">
        <v>4855.95</v>
      </c>
      <c r="R106" s="96">
        <v>4872.1499999999996</v>
      </c>
      <c r="S106" s="88">
        <f t="shared" si="31"/>
        <v>89683.839999999982</v>
      </c>
      <c r="T106" s="135">
        <f>+G106-S106</f>
        <v>405066.16000000003</v>
      </c>
    </row>
    <row r="107" spans="1:20" ht="31.5">
      <c r="A107" s="64">
        <v>2</v>
      </c>
      <c r="B107" s="64">
        <v>2</v>
      </c>
      <c r="C107" s="72">
        <v>8</v>
      </c>
      <c r="D107" s="64">
        <v>7</v>
      </c>
      <c r="E107" s="64">
        <v>6</v>
      </c>
      <c r="F107" s="93" t="s">
        <v>117</v>
      </c>
      <c r="G107" s="95">
        <v>2987400</v>
      </c>
      <c r="H107" s="96">
        <f>38200+11800+43563+144225.5</f>
        <v>237788.5</v>
      </c>
      <c r="I107" s="33" t="e">
        <f>+G107-#REF!</f>
        <v>#REF!</v>
      </c>
      <c r="J107" s="96">
        <f>12000+21240+177541.38+11800+144225.5+43563+21240</f>
        <v>431609.88</v>
      </c>
      <c r="K107" s="96">
        <f>10620+26886.3+118000+11800+144225.5+43563</f>
        <v>355094.8</v>
      </c>
      <c r="L107" s="96">
        <f>29500+110963.37+6608+42480+90935.52+144225.5+11800+118000+43563+54800</f>
        <v>652875.39</v>
      </c>
      <c r="M107" s="96">
        <f>5000+43563+144225.5+118000+11800</f>
        <v>322588.5</v>
      </c>
      <c r="N107" s="96">
        <f>11800+118000+43563+5000+181871.04+144225.5+1000+21240</f>
        <v>526699.54</v>
      </c>
      <c r="O107" s="96">
        <f>31350+14750+144225.5+11800+118000+1000+1000+43563+141600</f>
        <v>507288.5</v>
      </c>
      <c r="P107" s="96">
        <f>8250+6750+10500+8000+13000+43563+144225.5+300+300+300+300+118000+11800</f>
        <v>365288.5</v>
      </c>
      <c r="Q107" s="96">
        <f>43563+136403.28+118000+11800+144225.5+2800</f>
        <v>456791.78</v>
      </c>
      <c r="R107" s="96">
        <f>500+500+144225.5+11800+118000+14750+21240+43563+35400+35000</f>
        <v>424978.5</v>
      </c>
      <c r="S107" s="88">
        <f t="shared" si="31"/>
        <v>4281003.8899999997</v>
      </c>
      <c r="T107" s="135">
        <f>+G107-S107</f>
        <v>-1293603.8899999997</v>
      </c>
    </row>
    <row r="108" spans="1:20" ht="16.5" thickBot="1">
      <c r="A108" s="64"/>
      <c r="B108" s="64"/>
      <c r="C108" s="72"/>
      <c r="D108" s="64"/>
      <c r="E108" s="64"/>
      <c r="F108" s="93"/>
      <c r="G108" s="101"/>
      <c r="H108" s="115"/>
      <c r="I108" s="31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0"/>
    </row>
    <row r="109" spans="1:20" ht="32.25" thickBot="1">
      <c r="A109" s="64">
        <v>2</v>
      </c>
      <c r="B109" s="64">
        <v>2</v>
      </c>
      <c r="C109" s="72">
        <v>9</v>
      </c>
      <c r="D109" s="64"/>
      <c r="E109" s="64"/>
      <c r="F109" s="90" t="s">
        <v>105</v>
      </c>
      <c r="G109" s="84">
        <f>G110+G111</f>
        <v>385000</v>
      </c>
      <c r="H109" s="131">
        <f t="shared" ref="H109:T109" si="32">H110+H111</f>
        <v>33893.49</v>
      </c>
      <c r="I109" s="34" t="e">
        <f t="shared" si="32"/>
        <v>#REF!</v>
      </c>
      <c r="J109" s="131">
        <f t="shared" si="32"/>
        <v>47097.1</v>
      </c>
      <c r="K109" s="131">
        <f t="shared" si="32"/>
        <v>15197.85</v>
      </c>
      <c r="L109" s="131">
        <f t="shared" si="32"/>
        <v>103340.88</v>
      </c>
      <c r="M109" s="131">
        <f t="shared" si="32"/>
        <v>5899.8</v>
      </c>
      <c r="N109" s="131">
        <f t="shared" si="32"/>
        <v>87945</v>
      </c>
      <c r="O109" s="131">
        <f t="shared" si="32"/>
        <v>11356</v>
      </c>
      <c r="P109" s="131">
        <f t="shared" si="32"/>
        <v>8297.65</v>
      </c>
      <c r="Q109" s="131">
        <f t="shared" si="32"/>
        <v>2872.9</v>
      </c>
      <c r="R109" s="131">
        <f t="shared" si="32"/>
        <v>76502.5</v>
      </c>
      <c r="S109" s="131">
        <f t="shared" si="32"/>
        <v>392403.17000000004</v>
      </c>
      <c r="T109" s="136">
        <f t="shared" si="32"/>
        <v>-7403.1700000000419</v>
      </c>
    </row>
    <row r="110" spans="1:20" ht="16.5" thickBot="1">
      <c r="A110" s="64">
        <v>2</v>
      </c>
      <c r="B110" s="64">
        <v>2</v>
      </c>
      <c r="C110" s="72">
        <v>9</v>
      </c>
      <c r="D110" s="64">
        <v>2</v>
      </c>
      <c r="E110" s="64"/>
      <c r="F110" s="132" t="s">
        <v>106</v>
      </c>
      <c r="G110" s="80"/>
      <c r="H110" s="123"/>
      <c r="I110" s="35" t="e">
        <f>+G110-#REF!</f>
        <v>#REF!</v>
      </c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37"/>
    </row>
    <row r="111" spans="1:20" ht="15.75">
      <c r="A111" s="64">
        <v>2</v>
      </c>
      <c r="B111" s="64">
        <v>2</v>
      </c>
      <c r="C111" s="72">
        <v>9</v>
      </c>
      <c r="D111" s="64">
        <v>2</v>
      </c>
      <c r="E111" s="64">
        <v>1</v>
      </c>
      <c r="F111" s="93" t="s">
        <v>106</v>
      </c>
      <c r="G111" s="95">
        <v>385000</v>
      </c>
      <c r="H111" s="96">
        <f>2066.99+300+175+300+275+175+300+300+30001.5</f>
        <v>33893.49</v>
      </c>
      <c r="I111" s="27" t="e">
        <f>+G111-#REF!</f>
        <v>#REF!</v>
      </c>
      <c r="J111" s="96">
        <f>300+175+145+791.7+400+470+750+475+400+100+265+12823.9+30001.5</f>
        <v>47097.1</v>
      </c>
      <c r="K111" s="96">
        <f>3872+8791+375+245+300+759.85+300+80+475</f>
        <v>15197.85</v>
      </c>
      <c r="L111" s="96">
        <f>9513.6+315+400+315+175+315+1087.28+315+350+385+89680+315+175</f>
        <v>103340.88</v>
      </c>
      <c r="M111" s="96">
        <f>639.8+175+315+310+300+485+475+300+2900</f>
        <v>5899.8</v>
      </c>
      <c r="N111" s="96">
        <f>84075+380+2210+300+300+300+380</f>
        <v>87945</v>
      </c>
      <c r="O111" s="96">
        <f>175+410+200+8850+100+300+300+364+175+272+204+6</f>
        <v>11356</v>
      </c>
      <c r="P111" s="96">
        <f>575+255+4130+175+204+340+175+255+500+300+175+1213.65</f>
        <v>8297.65</v>
      </c>
      <c r="Q111" s="96">
        <f>200+419.9+275+205+500+408+270+175+420</f>
        <v>2872.9</v>
      </c>
      <c r="R111" s="96">
        <f>340+500+275+935+1425+408+90+175+408+70888.5+300+408+350</f>
        <v>76502.5</v>
      </c>
      <c r="S111" s="88">
        <f>+H111+J111+K111+L111+M111+N111+O111+P111+Q111+R111</f>
        <v>392403.17000000004</v>
      </c>
      <c r="T111" s="97">
        <f>+G111-S111</f>
        <v>-7403.1700000000419</v>
      </c>
    </row>
    <row r="112" spans="1:20" ht="15.75">
      <c r="A112" s="64"/>
      <c r="B112" s="64"/>
      <c r="C112" s="72"/>
      <c r="D112" s="64"/>
      <c r="E112" s="64"/>
      <c r="F112" s="93"/>
      <c r="G112" s="95"/>
      <c r="H112" s="96"/>
      <c r="I112" s="27"/>
      <c r="J112" s="96"/>
      <c r="K112" s="96"/>
      <c r="L112" s="96"/>
      <c r="M112" s="96"/>
      <c r="N112" s="96"/>
      <c r="O112" s="96"/>
      <c r="P112" s="96"/>
      <c r="Q112" s="96" t="s">
        <v>144</v>
      </c>
      <c r="R112" s="96"/>
      <c r="S112" s="96"/>
      <c r="T112" s="97"/>
    </row>
    <row r="113" spans="1:20" ht="16.5" thickBot="1">
      <c r="A113" s="64">
        <v>2</v>
      </c>
      <c r="B113" s="64">
        <v>3</v>
      </c>
      <c r="C113" s="72"/>
      <c r="D113" s="64"/>
      <c r="E113" s="73"/>
      <c r="F113" s="90" t="s">
        <v>73</v>
      </c>
      <c r="G113" s="75">
        <f>G114+G118+G121+G127+G131+G139</f>
        <v>1501221.5</v>
      </c>
      <c r="H113" s="76">
        <f>H114+H118+H121+H127+H131+H139</f>
        <v>85512.01</v>
      </c>
      <c r="I113" s="76" t="e">
        <f t="shared" ref="I113:T113" si="33">I114+I118+I121+I127+I131+I139</f>
        <v>#REF!</v>
      </c>
      <c r="J113" s="76">
        <f t="shared" si="33"/>
        <v>77786.3</v>
      </c>
      <c r="K113" s="76">
        <f t="shared" si="33"/>
        <v>60480</v>
      </c>
      <c r="L113" s="76">
        <f t="shared" si="33"/>
        <v>127356.73999999999</v>
      </c>
      <c r="M113" s="76">
        <f t="shared" si="33"/>
        <v>91216.950000000012</v>
      </c>
      <c r="N113" s="76">
        <f t="shared" si="33"/>
        <v>747.85</v>
      </c>
      <c r="O113" s="76">
        <f t="shared" si="33"/>
        <v>309611.44999999995</v>
      </c>
      <c r="P113" s="76">
        <f t="shared" si="33"/>
        <v>9953.2999999999993</v>
      </c>
      <c r="Q113" s="76">
        <f t="shared" si="33"/>
        <v>12639.55</v>
      </c>
      <c r="R113" s="76">
        <f t="shared" si="33"/>
        <v>350852.53</v>
      </c>
      <c r="S113" s="76">
        <f t="shared" si="33"/>
        <v>1126156.68</v>
      </c>
      <c r="T113" s="77">
        <f t="shared" si="33"/>
        <v>375064.82000000007</v>
      </c>
    </row>
    <row r="114" spans="1:20" ht="12" customHeight="1" thickBot="1">
      <c r="A114" s="64">
        <v>2</v>
      </c>
      <c r="B114" s="64">
        <v>3</v>
      </c>
      <c r="C114" s="72">
        <v>1</v>
      </c>
      <c r="D114" s="64"/>
      <c r="E114" s="73"/>
      <c r="F114" s="138" t="s">
        <v>74</v>
      </c>
      <c r="G114" s="102">
        <f t="shared" ref="G114:R114" si="34">G115</f>
        <v>0</v>
      </c>
      <c r="H114" s="103">
        <f t="shared" si="34"/>
        <v>0</v>
      </c>
      <c r="I114" s="29">
        <f t="shared" si="34"/>
        <v>0</v>
      </c>
      <c r="J114" s="103">
        <f t="shared" si="34"/>
        <v>0</v>
      </c>
      <c r="K114" s="103">
        <f t="shared" si="34"/>
        <v>0</v>
      </c>
      <c r="L114" s="103">
        <f t="shared" si="34"/>
        <v>0</v>
      </c>
      <c r="M114" s="103">
        <f t="shared" si="34"/>
        <v>0</v>
      </c>
      <c r="N114" s="103">
        <f t="shared" si="34"/>
        <v>0</v>
      </c>
      <c r="O114" s="103">
        <f t="shared" si="34"/>
        <v>0</v>
      </c>
      <c r="P114" s="103">
        <f t="shared" si="34"/>
        <v>0</v>
      </c>
      <c r="Q114" s="103">
        <f t="shared" si="34"/>
        <v>0</v>
      </c>
      <c r="R114" s="103">
        <f t="shared" si="34"/>
        <v>0</v>
      </c>
      <c r="S114" s="103">
        <f>S115</f>
        <v>0</v>
      </c>
      <c r="T114" s="118">
        <f>T115</f>
        <v>0</v>
      </c>
    </row>
    <row r="115" spans="1:20" ht="12" customHeight="1">
      <c r="A115" s="64">
        <v>2</v>
      </c>
      <c r="B115" s="64">
        <v>3</v>
      </c>
      <c r="C115" s="72">
        <v>1</v>
      </c>
      <c r="D115" s="64">
        <v>1</v>
      </c>
      <c r="E115" s="73"/>
      <c r="F115" s="139" t="s">
        <v>75</v>
      </c>
      <c r="G115" s="95">
        <f>G116</f>
        <v>0</v>
      </c>
      <c r="H115" s="88"/>
      <c r="I115" s="24"/>
      <c r="J115" s="88"/>
      <c r="K115" s="88"/>
      <c r="L115" s="88"/>
      <c r="M115" s="88"/>
      <c r="N115" s="111"/>
      <c r="O115" s="111"/>
      <c r="P115" s="111"/>
      <c r="Q115" s="111"/>
      <c r="R115" s="111"/>
      <c r="S115" s="111">
        <f>+H115+Q115+J115+K115+L115+M115+N115+O115+P115+R115</f>
        <v>0</v>
      </c>
      <c r="T115" s="140">
        <f>+G115-S115</f>
        <v>0</v>
      </c>
    </row>
    <row r="116" spans="1:20" ht="12" customHeight="1">
      <c r="A116" s="64">
        <v>2</v>
      </c>
      <c r="B116" s="64">
        <v>3</v>
      </c>
      <c r="C116" s="72">
        <v>1</v>
      </c>
      <c r="D116" s="64">
        <v>1</v>
      </c>
      <c r="E116" s="73">
        <v>1</v>
      </c>
      <c r="F116" s="139" t="s">
        <v>75</v>
      </c>
      <c r="G116" s="95"/>
      <c r="H116" s="96">
        <v>0</v>
      </c>
      <c r="I116" s="27">
        <v>0</v>
      </c>
      <c r="J116" s="96">
        <v>0</v>
      </c>
      <c r="K116" s="96"/>
      <c r="L116" s="96"/>
      <c r="M116" s="96"/>
      <c r="N116" s="96"/>
      <c r="O116" s="96"/>
      <c r="P116" s="96"/>
      <c r="Q116" s="96"/>
      <c r="R116" s="96"/>
      <c r="S116" s="88">
        <f>+H116+J116+K116+L116+M116+N116+O116+P116+Q116+R116</f>
        <v>0</v>
      </c>
      <c r="T116" s="135">
        <f>+G116-S116</f>
        <v>0</v>
      </c>
    </row>
    <row r="117" spans="1:20" ht="12" customHeight="1">
      <c r="A117" s="64"/>
      <c r="B117" s="64"/>
      <c r="C117" s="72"/>
      <c r="D117" s="64"/>
      <c r="E117" s="73"/>
      <c r="F117" s="138"/>
      <c r="G117" s="95"/>
      <c r="H117" s="96"/>
      <c r="I117" s="27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7"/>
    </row>
    <row r="118" spans="1:20" ht="16.5" thickBot="1">
      <c r="A118" s="64">
        <v>2</v>
      </c>
      <c r="B118" s="64">
        <v>3</v>
      </c>
      <c r="C118" s="72">
        <v>2</v>
      </c>
      <c r="D118" s="64"/>
      <c r="E118" s="73"/>
      <c r="F118" s="138" t="s">
        <v>76</v>
      </c>
      <c r="G118" s="95"/>
      <c r="H118" s="96">
        <f t="shared" ref="H118:T118" si="35">H119</f>
        <v>0</v>
      </c>
      <c r="I118" s="27">
        <f t="shared" si="35"/>
        <v>0</v>
      </c>
      <c r="J118" s="96">
        <f t="shared" si="35"/>
        <v>0</v>
      </c>
      <c r="K118" s="96">
        <f t="shared" si="35"/>
        <v>0</v>
      </c>
      <c r="L118" s="96">
        <f t="shared" si="35"/>
        <v>0</v>
      </c>
      <c r="M118" s="96">
        <f t="shared" si="35"/>
        <v>0</v>
      </c>
      <c r="N118" s="115">
        <f t="shared" si="35"/>
        <v>0</v>
      </c>
      <c r="O118" s="115">
        <f t="shared" si="35"/>
        <v>0</v>
      </c>
      <c r="P118" s="115">
        <f t="shared" si="35"/>
        <v>0</v>
      </c>
      <c r="Q118" s="115">
        <f t="shared" si="35"/>
        <v>0</v>
      </c>
      <c r="R118" s="115">
        <f t="shared" si="35"/>
        <v>0</v>
      </c>
      <c r="S118" s="115">
        <f t="shared" si="35"/>
        <v>0</v>
      </c>
      <c r="T118" s="110">
        <f t="shared" si="35"/>
        <v>0</v>
      </c>
    </row>
    <row r="119" spans="1:20" ht="15.75">
      <c r="A119" s="64">
        <v>2</v>
      </c>
      <c r="B119" s="64">
        <v>3</v>
      </c>
      <c r="C119" s="72">
        <v>2</v>
      </c>
      <c r="D119" s="64">
        <v>3</v>
      </c>
      <c r="E119" s="73"/>
      <c r="F119" s="139" t="s">
        <v>77</v>
      </c>
      <c r="G119" s="94"/>
      <c r="H119" s="99">
        <v>0</v>
      </c>
      <c r="I119" s="28">
        <v>0</v>
      </c>
      <c r="J119" s="99">
        <v>0</v>
      </c>
      <c r="K119" s="99"/>
      <c r="L119" s="99"/>
      <c r="M119" s="99"/>
      <c r="N119" s="96"/>
      <c r="O119" s="96"/>
      <c r="P119" s="96"/>
      <c r="Q119" s="96"/>
      <c r="R119" s="96"/>
      <c r="S119" s="88">
        <f>+H119+J119+K119+L119+M119+N119+O119+P119+Q119+R119</f>
        <v>0</v>
      </c>
      <c r="T119" s="135">
        <f>+G119-S119</f>
        <v>0</v>
      </c>
    </row>
    <row r="120" spans="1:20" s="3" customFormat="1" ht="15.75">
      <c r="A120" s="64"/>
      <c r="B120" s="64"/>
      <c r="C120" s="72"/>
      <c r="D120" s="64"/>
      <c r="E120" s="73"/>
      <c r="F120" s="138"/>
      <c r="G120" s="95"/>
      <c r="H120" s="88"/>
      <c r="I120" s="24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9"/>
    </row>
    <row r="121" spans="1:20" ht="32.25" thickBot="1">
      <c r="A121" s="64">
        <v>2</v>
      </c>
      <c r="B121" s="112">
        <v>3</v>
      </c>
      <c r="C121" s="113">
        <v>3</v>
      </c>
      <c r="D121" s="73"/>
      <c r="E121" s="73"/>
      <c r="F121" s="90" t="s">
        <v>78</v>
      </c>
      <c r="G121" s="75">
        <f t="shared" ref="G121:T121" si="36">G122+G123+G124+G125</f>
        <v>101500</v>
      </c>
      <c r="H121" s="91">
        <f t="shared" si="36"/>
        <v>0</v>
      </c>
      <c r="I121" s="25" t="e">
        <f t="shared" si="36"/>
        <v>#REF!</v>
      </c>
      <c r="J121" s="91">
        <f t="shared" si="36"/>
        <v>708</v>
      </c>
      <c r="K121" s="91">
        <f t="shared" si="36"/>
        <v>0</v>
      </c>
      <c r="L121" s="91">
        <f t="shared" si="36"/>
        <v>0</v>
      </c>
      <c r="M121" s="91">
        <f t="shared" si="36"/>
        <v>0</v>
      </c>
      <c r="N121" s="91">
        <f t="shared" si="36"/>
        <v>0</v>
      </c>
      <c r="O121" s="91">
        <f t="shared" si="36"/>
        <v>0</v>
      </c>
      <c r="P121" s="91">
        <f t="shared" si="36"/>
        <v>0</v>
      </c>
      <c r="Q121" s="91">
        <f t="shared" si="36"/>
        <v>0</v>
      </c>
      <c r="R121" s="91">
        <f t="shared" si="36"/>
        <v>0</v>
      </c>
      <c r="S121" s="91">
        <f t="shared" si="36"/>
        <v>708</v>
      </c>
      <c r="T121" s="79">
        <f t="shared" si="36"/>
        <v>100792</v>
      </c>
    </row>
    <row r="122" spans="1:20" ht="15.75">
      <c r="A122" s="64">
        <v>2</v>
      </c>
      <c r="B122" s="64">
        <v>3</v>
      </c>
      <c r="C122" s="72">
        <v>3</v>
      </c>
      <c r="D122" s="64">
        <v>1</v>
      </c>
      <c r="E122" s="64"/>
      <c r="F122" s="132" t="s">
        <v>79</v>
      </c>
      <c r="G122" s="94">
        <v>68000</v>
      </c>
      <c r="H122" s="99"/>
      <c r="I122" s="27" t="e">
        <f>+G122-#REF!</f>
        <v>#REF!</v>
      </c>
      <c r="J122" s="99"/>
      <c r="K122" s="99"/>
      <c r="L122" s="99"/>
      <c r="M122" s="99"/>
      <c r="N122" s="108"/>
      <c r="O122" s="108"/>
      <c r="P122" s="108"/>
      <c r="Q122" s="108"/>
      <c r="R122" s="108"/>
      <c r="S122" s="88">
        <f>+H122+J122+K122+L122+M122+N122+O122+P122+Q122+R122</f>
        <v>0</v>
      </c>
      <c r="T122" s="141">
        <f>+G122-S122</f>
        <v>68000</v>
      </c>
    </row>
    <row r="123" spans="1:20" ht="15.75">
      <c r="A123" s="64">
        <v>2</v>
      </c>
      <c r="B123" s="64">
        <v>3</v>
      </c>
      <c r="C123" s="72">
        <v>3</v>
      </c>
      <c r="D123" s="64">
        <v>2</v>
      </c>
      <c r="E123" s="64"/>
      <c r="F123" s="132" t="s">
        <v>80</v>
      </c>
      <c r="G123" s="95">
        <v>23000</v>
      </c>
      <c r="H123" s="96">
        <v>0</v>
      </c>
      <c r="I123" s="27" t="e">
        <f>+G123-#REF!</f>
        <v>#REF!</v>
      </c>
      <c r="J123" s="96">
        <v>0</v>
      </c>
      <c r="K123" s="96"/>
      <c r="L123" s="96"/>
      <c r="M123" s="96"/>
      <c r="N123" s="108"/>
      <c r="O123" s="108"/>
      <c r="P123" s="108"/>
      <c r="Q123" s="108"/>
      <c r="R123" s="108"/>
      <c r="S123" s="88">
        <f>+H123+J123+K123+L123+M123+N123+O123+P123+Q123+R123</f>
        <v>0</v>
      </c>
      <c r="T123" s="107">
        <f>+G123-S123</f>
        <v>23000</v>
      </c>
    </row>
    <row r="124" spans="1:20" ht="15.75">
      <c r="A124" s="64">
        <v>2</v>
      </c>
      <c r="B124" s="64">
        <v>3</v>
      </c>
      <c r="C124" s="72">
        <v>3</v>
      </c>
      <c r="D124" s="64">
        <v>3</v>
      </c>
      <c r="E124" s="64"/>
      <c r="F124" s="132" t="s">
        <v>81</v>
      </c>
      <c r="G124" s="95">
        <v>0</v>
      </c>
      <c r="H124" s="96">
        <v>0</v>
      </c>
      <c r="I124" s="27">
        <v>0</v>
      </c>
      <c r="J124" s="96">
        <v>708</v>
      </c>
      <c r="K124" s="96"/>
      <c r="L124" s="96"/>
      <c r="M124" s="96"/>
      <c r="N124" s="108"/>
      <c r="O124" s="108"/>
      <c r="P124" s="108"/>
      <c r="Q124" s="108"/>
      <c r="R124" s="108"/>
      <c r="S124" s="88">
        <f t="shared" ref="S124:S126" si="37">+H124+J124+K124+L124+M124+N124+O124+P124+Q124+R124</f>
        <v>708</v>
      </c>
      <c r="T124" s="107">
        <f>+G124-S124</f>
        <v>-708</v>
      </c>
    </row>
    <row r="125" spans="1:20" ht="15.75">
      <c r="A125" s="64">
        <v>2</v>
      </c>
      <c r="B125" s="64">
        <v>3</v>
      </c>
      <c r="C125" s="72">
        <v>3</v>
      </c>
      <c r="D125" s="64">
        <v>4</v>
      </c>
      <c r="E125" s="64"/>
      <c r="F125" s="132" t="s">
        <v>82</v>
      </c>
      <c r="G125" s="95">
        <v>10500</v>
      </c>
      <c r="H125" s="96"/>
      <c r="I125" s="27" t="e">
        <f>+G125-#REF!</f>
        <v>#REF!</v>
      </c>
      <c r="J125" s="96"/>
      <c r="K125" s="96"/>
      <c r="L125" s="96"/>
      <c r="M125" s="96"/>
      <c r="N125" s="108"/>
      <c r="O125" s="108"/>
      <c r="P125" s="108"/>
      <c r="Q125" s="108"/>
      <c r="R125" s="108"/>
      <c r="S125" s="88">
        <f t="shared" si="37"/>
        <v>0</v>
      </c>
      <c r="T125" s="107">
        <f>+G125-S125</f>
        <v>10500</v>
      </c>
    </row>
    <row r="126" spans="1:20" s="1" customFormat="1" ht="16.5" thickBot="1">
      <c r="A126" s="64"/>
      <c r="B126" s="64"/>
      <c r="C126" s="72"/>
      <c r="D126" s="64"/>
      <c r="E126" s="64"/>
      <c r="F126" s="132"/>
      <c r="G126" s="95"/>
      <c r="H126" s="96"/>
      <c r="I126" s="27"/>
      <c r="J126" s="96"/>
      <c r="K126" s="96"/>
      <c r="L126" s="96"/>
      <c r="M126" s="96"/>
      <c r="N126" s="108"/>
      <c r="O126" s="108"/>
      <c r="P126" s="108"/>
      <c r="Q126" s="108"/>
      <c r="R126" s="108"/>
      <c r="S126" s="88">
        <f t="shared" si="37"/>
        <v>0</v>
      </c>
      <c r="T126" s="107">
        <f>+G126-S126</f>
        <v>0</v>
      </c>
    </row>
    <row r="127" spans="1:20" s="1" customFormat="1" ht="48" thickBot="1">
      <c r="A127" s="73">
        <v>2</v>
      </c>
      <c r="B127" s="73">
        <v>3</v>
      </c>
      <c r="C127" s="142">
        <v>7</v>
      </c>
      <c r="D127" s="73"/>
      <c r="E127" s="73"/>
      <c r="F127" s="133" t="s">
        <v>83</v>
      </c>
      <c r="G127" s="75">
        <f t="shared" ref="G127:T128" si="38">G128</f>
        <v>804051.5</v>
      </c>
      <c r="H127" s="115">
        <f t="shared" si="38"/>
        <v>0</v>
      </c>
      <c r="I127" s="30" t="e">
        <f t="shared" si="38"/>
        <v>#REF!</v>
      </c>
      <c r="J127" s="115">
        <f t="shared" si="38"/>
        <v>0</v>
      </c>
      <c r="K127" s="115">
        <f t="shared" si="38"/>
        <v>60000</v>
      </c>
      <c r="L127" s="115">
        <f t="shared" si="38"/>
        <v>0</v>
      </c>
      <c r="M127" s="115">
        <f t="shared" si="38"/>
        <v>0</v>
      </c>
      <c r="N127" s="115">
        <f t="shared" si="38"/>
        <v>0</v>
      </c>
      <c r="O127" s="115">
        <f t="shared" si="38"/>
        <v>0</v>
      </c>
      <c r="P127" s="115">
        <f t="shared" si="38"/>
        <v>0</v>
      </c>
      <c r="Q127" s="115">
        <f t="shared" si="38"/>
        <v>0</v>
      </c>
      <c r="R127" s="115">
        <f t="shared" si="38"/>
        <v>102000</v>
      </c>
      <c r="S127" s="115">
        <f t="shared" si="38"/>
        <v>162000</v>
      </c>
      <c r="T127" s="109">
        <f t="shared" si="38"/>
        <v>642051.5</v>
      </c>
    </row>
    <row r="128" spans="1:20" s="4" customFormat="1" ht="16.5" thickBot="1">
      <c r="A128" s="73">
        <v>2</v>
      </c>
      <c r="B128" s="73">
        <v>3</v>
      </c>
      <c r="C128" s="142">
        <v>7</v>
      </c>
      <c r="D128" s="73">
        <v>1</v>
      </c>
      <c r="E128" s="73"/>
      <c r="F128" s="133" t="s">
        <v>84</v>
      </c>
      <c r="G128" s="75">
        <f t="shared" si="38"/>
        <v>804051.5</v>
      </c>
      <c r="H128" s="81">
        <f t="shared" si="38"/>
        <v>0</v>
      </c>
      <c r="I128" s="30" t="e">
        <f>I129</f>
        <v>#REF!</v>
      </c>
      <c r="J128" s="81">
        <f t="shared" si="38"/>
        <v>0</v>
      </c>
      <c r="K128" s="81">
        <f t="shared" si="38"/>
        <v>60000</v>
      </c>
      <c r="L128" s="81">
        <f t="shared" si="38"/>
        <v>0</v>
      </c>
      <c r="M128" s="81">
        <f t="shared" si="38"/>
        <v>0</v>
      </c>
      <c r="N128" s="81">
        <f t="shared" si="38"/>
        <v>0</v>
      </c>
      <c r="O128" s="81">
        <f t="shared" si="38"/>
        <v>0</v>
      </c>
      <c r="P128" s="81">
        <f t="shared" si="38"/>
        <v>0</v>
      </c>
      <c r="Q128" s="81">
        <f t="shared" si="38"/>
        <v>0</v>
      </c>
      <c r="R128" s="81">
        <f t="shared" si="38"/>
        <v>102000</v>
      </c>
      <c r="S128" s="81">
        <f t="shared" si="38"/>
        <v>162000</v>
      </c>
      <c r="T128" s="110">
        <f>T129</f>
        <v>642051.5</v>
      </c>
    </row>
    <row r="129" spans="1:20" ht="15.75">
      <c r="A129" s="117">
        <v>2</v>
      </c>
      <c r="B129" s="117">
        <v>3</v>
      </c>
      <c r="C129" s="143">
        <v>7</v>
      </c>
      <c r="D129" s="117">
        <v>1</v>
      </c>
      <c r="E129" s="117">
        <v>1</v>
      </c>
      <c r="F129" s="93" t="s">
        <v>85</v>
      </c>
      <c r="G129" s="129">
        <f>960000-155948.5</f>
        <v>804051.5</v>
      </c>
      <c r="H129" s="99"/>
      <c r="I129" s="28" t="e">
        <f>+G129-#REF!</f>
        <v>#REF!</v>
      </c>
      <c r="J129" s="99"/>
      <c r="K129" s="99">
        <v>60000</v>
      </c>
      <c r="L129" s="99"/>
      <c r="M129" s="99"/>
      <c r="N129" s="96"/>
      <c r="O129" s="96"/>
      <c r="P129" s="96"/>
      <c r="Q129" s="96"/>
      <c r="R129" s="96">
        <f>100000+2000</f>
        <v>102000</v>
      </c>
      <c r="S129" s="88">
        <f>+H129+J129+K129+L129+M129+N129+O129+P129+Q129+R129</f>
        <v>162000</v>
      </c>
      <c r="T129" s="100">
        <f>+G129-S129</f>
        <v>642051.5</v>
      </c>
    </row>
    <row r="130" spans="1:20" ht="15.75">
      <c r="A130" s="64"/>
      <c r="B130" s="64"/>
      <c r="C130" s="72"/>
      <c r="D130" s="64"/>
      <c r="E130" s="64"/>
      <c r="F130" s="93"/>
      <c r="G130" s="95"/>
      <c r="H130" s="96"/>
      <c r="I130" s="27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7"/>
    </row>
    <row r="131" spans="1:20" ht="16.5" thickBot="1">
      <c r="A131" s="64">
        <v>2</v>
      </c>
      <c r="B131" s="64">
        <v>3</v>
      </c>
      <c r="C131" s="72">
        <v>9</v>
      </c>
      <c r="D131" s="64"/>
      <c r="E131" s="73"/>
      <c r="F131" s="90" t="s">
        <v>86</v>
      </c>
      <c r="G131" s="134">
        <f>SUM(G132:G136)</f>
        <v>595670</v>
      </c>
      <c r="H131" s="134">
        <f t="shared" ref="H131:S131" si="39">SUM(H132:H136)</f>
        <v>85512.01</v>
      </c>
      <c r="I131" s="134" t="e">
        <f t="shared" si="39"/>
        <v>#REF!</v>
      </c>
      <c r="J131" s="144">
        <f t="shared" si="39"/>
        <v>77078.3</v>
      </c>
      <c r="K131" s="144">
        <f t="shared" si="39"/>
        <v>480</v>
      </c>
      <c r="L131" s="144">
        <f t="shared" si="39"/>
        <v>116541.09999999999</v>
      </c>
      <c r="M131" s="144">
        <f t="shared" si="39"/>
        <v>91216.950000000012</v>
      </c>
      <c r="N131" s="144">
        <f t="shared" si="39"/>
        <v>747.85</v>
      </c>
      <c r="O131" s="144">
        <f t="shared" si="39"/>
        <v>111088.97</v>
      </c>
      <c r="P131" s="144">
        <f t="shared" si="39"/>
        <v>9953.2999999999993</v>
      </c>
      <c r="Q131" s="144">
        <f t="shared" si="39"/>
        <v>12639.55</v>
      </c>
      <c r="R131" s="144">
        <f t="shared" si="39"/>
        <v>248852.53</v>
      </c>
      <c r="S131" s="144">
        <f t="shared" si="39"/>
        <v>754110.55999999994</v>
      </c>
      <c r="T131" s="92">
        <f>T132+T133+T134+T135+T136+T137</f>
        <v>-158440.55999999994</v>
      </c>
    </row>
    <row r="132" spans="1:20" ht="15.75">
      <c r="A132" s="64">
        <v>2</v>
      </c>
      <c r="B132" s="64">
        <v>3</v>
      </c>
      <c r="C132" s="72">
        <v>9</v>
      </c>
      <c r="D132" s="64">
        <v>1</v>
      </c>
      <c r="E132" s="64"/>
      <c r="F132" s="93" t="s">
        <v>87</v>
      </c>
      <c r="G132" s="94">
        <v>8000</v>
      </c>
      <c r="H132" s="96"/>
      <c r="I132" s="27" t="e">
        <f>+G132-#REF!</f>
        <v>#REF!</v>
      </c>
      <c r="J132" s="96">
        <v>50</v>
      </c>
      <c r="K132" s="96"/>
      <c r="L132" s="96">
        <v>120</v>
      </c>
      <c r="M132" s="96"/>
      <c r="N132" s="96"/>
      <c r="O132" s="96"/>
      <c r="P132" s="96"/>
      <c r="Q132" s="96"/>
      <c r="R132" s="96"/>
      <c r="S132" s="88">
        <f>+H132+J132+K132+L132+M132+N132+O132+P132+Q132</f>
        <v>170</v>
      </c>
      <c r="T132" s="97">
        <f t="shared" ref="T132:T137" si="40">+G132-S132</f>
        <v>7830</v>
      </c>
    </row>
    <row r="133" spans="1:20" ht="31.5">
      <c r="A133" s="64">
        <v>2</v>
      </c>
      <c r="B133" s="64">
        <v>3</v>
      </c>
      <c r="C133" s="72">
        <v>9</v>
      </c>
      <c r="D133" s="64">
        <v>2</v>
      </c>
      <c r="E133" s="64"/>
      <c r="F133" s="93" t="s">
        <v>88</v>
      </c>
      <c r="G133" s="95">
        <v>195000</v>
      </c>
      <c r="H133" s="96">
        <v>79914.009999999995</v>
      </c>
      <c r="I133" s="27" t="e">
        <f>+G133-#REF!</f>
        <v>#REF!</v>
      </c>
      <c r="J133" s="96">
        <f>22495.78+8966.17+9109.6</f>
        <v>40571.549999999996</v>
      </c>
      <c r="K133" s="96"/>
      <c r="L133" s="96">
        <v>110424.4</v>
      </c>
      <c r="M133" s="96">
        <f>19857.64+41206.78+450</f>
        <v>61514.42</v>
      </c>
      <c r="N133" s="96"/>
      <c r="O133" s="96">
        <v>3899.99</v>
      </c>
      <c r="P133" s="96">
        <f>7062.3+2891</f>
        <v>9953.2999999999993</v>
      </c>
      <c r="Q133" s="96">
        <f>837+2400</f>
        <v>3237</v>
      </c>
      <c r="R133" s="96">
        <f>179245.54+28901.74</f>
        <v>208147.28</v>
      </c>
      <c r="S133" s="88">
        <f>+H133+J133+K133+L133+M133+N133+O133+P133+Q133+R133</f>
        <v>517661.94999999995</v>
      </c>
      <c r="T133" s="97">
        <f t="shared" si="40"/>
        <v>-322661.94999999995</v>
      </c>
    </row>
    <row r="134" spans="1:20" ht="15.75">
      <c r="A134" s="64">
        <v>2</v>
      </c>
      <c r="B134" s="117">
        <v>3</v>
      </c>
      <c r="C134" s="117">
        <v>9</v>
      </c>
      <c r="D134" s="64">
        <v>5</v>
      </c>
      <c r="E134" s="64"/>
      <c r="F134" s="145" t="s">
        <v>89</v>
      </c>
      <c r="G134" s="95">
        <v>10000</v>
      </c>
      <c r="H134" s="96"/>
      <c r="I134" s="27" t="e">
        <f>+G134-#REF!</f>
        <v>#REF!</v>
      </c>
      <c r="J134" s="96">
        <f>258.9+29108.9</f>
        <v>29367.800000000003</v>
      </c>
      <c r="K134" s="96"/>
      <c r="L134" s="96"/>
      <c r="M134" s="96">
        <v>29213.68</v>
      </c>
      <c r="N134" s="96"/>
      <c r="O134" s="96">
        <f>675.88+250+18620.4+39232.3+43563+1584.5+517.9</f>
        <v>104443.98</v>
      </c>
      <c r="P134" s="96"/>
      <c r="Q134" s="96">
        <v>2140</v>
      </c>
      <c r="R134" s="96">
        <v>36809.5</v>
      </c>
      <c r="S134" s="88">
        <f>+H134+J134+K134+L134+M134+N134+O134+P134+Q134+R134</f>
        <v>201974.96</v>
      </c>
      <c r="T134" s="97">
        <f t="shared" si="40"/>
        <v>-191974.96</v>
      </c>
    </row>
    <row r="135" spans="1:20" ht="31.5">
      <c r="A135" s="64">
        <v>2</v>
      </c>
      <c r="B135" s="64">
        <v>3</v>
      </c>
      <c r="C135" s="72">
        <v>9</v>
      </c>
      <c r="D135" s="64">
        <v>8</v>
      </c>
      <c r="E135" s="64"/>
      <c r="F135" s="139" t="s">
        <v>90</v>
      </c>
      <c r="G135" s="95">
        <v>20000</v>
      </c>
      <c r="H135" s="96">
        <v>2600</v>
      </c>
      <c r="I135" s="27" t="e">
        <f>+G135-#REF!</f>
        <v>#REF!</v>
      </c>
      <c r="J135" s="96"/>
      <c r="K135" s="96"/>
      <c r="L135" s="96"/>
      <c r="M135" s="96"/>
      <c r="N135" s="96"/>
      <c r="O135" s="96">
        <v>1805</v>
      </c>
      <c r="P135" s="96"/>
      <c r="Q135" s="96"/>
      <c r="R135" s="96"/>
      <c r="S135" s="88">
        <f>+H135+J135+K135+L135+M135+N135+O135+P135+Q135+R135</f>
        <v>4405</v>
      </c>
      <c r="T135" s="97">
        <f t="shared" si="40"/>
        <v>15595</v>
      </c>
    </row>
    <row r="136" spans="1:20" ht="31.5">
      <c r="A136" s="64">
        <v>2</v>
      </c>
      <c r="B136" s="64">
        <v>3</v>
      </c>
      <c r="C136" s="72">
        <v>9</v>
      </c>
      <c r="D136" s="64">
        <v>9</v>
      </c>
      <c r="E136" s="64"/>
      <c r="F136" s="139" t="s">
        <v>91</v>
      </c>
      <c r="G136" s="95">
        <f>435000-72330</f>
        <v>362670</v>
      </c>
      <c r="H136" s="96">
        <f>100+100+100+100+100+195+1200+1103</f>
        <v>2998</v>
      </c>
      <c r="I136" s="27" t="e">
        <f>+G136-#REF!</f>
        <v>#REF!</v>
      </c>
      <c r="J136" s="96">
        <f>6830+258.95</f>
        <v>7088.95</v>
      </c>
      <c r="K136" s="96">
        <v>480</v>
      </c>
      <c r="L136" s="96">
        <f>3957+517.9+560+143.95+817.85</f>
        <v>5996.7</v>
      </c>
      <c r="M136" s="96">
        <f>488.85</f>
        <v>488.85</v>
      </c>
      <c r="N136" s="96">
        <v>747.85</v>
      </c>
      <c r="O136" s="96">
        <f>440+500</f>
        <v>940</v>
      </c>
      <c r="P136" s="96"/>
      <c r="Q136" s="96">
        <f>517.9+599.95+517.9+4589+120+917.8</f>
        <v>7262.55</v>
      </c>
      <c r="R136" s="96">
        <f>817.85+840+517.9+1720</f>
        <v>3895.75</v>
      </c>
      <c r="S136" s="88">
        <f>+H136+J136+K136+L136+M136+N136+O136+P136+Q136+R136</f>
        <v>29898.649999999998</v>
      </c>
      <c r="T136" s="97">
        <f t="shared" si="40"/>
        <v>332771.34999999998</v>
      </c>
    </row>
    <row r="137" spans="1:20" ht="15.75">
      <c r="A137" s="64">
        <v>2</v>
      </c>
      <c r="B137" s="64">
        <v>3</v>
      </c>
      <c r="C137" s="72">
        <v>9</v>
      </c>
      <c r="D137" s="64">
        <v>9</v>
      </c>
      <c r="E137" s="64">
        <v>2</v>
      </c>
      <c r="F137" s="139" t="s">
        <v>92</v>
      </c>
      <c r="G137" s="95"/>
      <c r="H137" s="96">
        <v>0</v>
      </c>
      <c r="I137" s="27">
        <v>0</v>
      </c>
      <c r="J137" s="96">
        <v>0</v>
      </c>
      <c r="K137" s="96"/>
      <c r="L137" s="96"/>
      <c r="M137" s="96"/>
      <c r="N137" s="96"/>
      <c r="O137" s="96"/>
      <c r="P137" s="96"/>
      <c r="Q137" s="96"/>
      <c r="R137" s="96"/>
      <c r="S137" s="88">
        <f>+H137+J137+K137+L137+M137+N137+O137</f>
        <v>0</v>
      </c>
      <c r="T137" s="97">
        <f t="shared" si="40"/>
        <v>0</v>
      </c>
    </row>
    <row r="138" spans="1:20" ht="15.75">
      <c r="A138" s="64"/>
      <c r="B138" s="64"/>
      <c r="C138" s="72"/>
      <c r="D138" s="64"/>
      <c r="E138" s="64"/>
      <c r="F138" s="93"/>
      <c r="G138" s="95"/>
      <c r="H138" s="96"/>
      <c r="I138" s="27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7"/>
    </row>
    <row r="139" spans="1:20" ht="32.25" thickBot="1">
      <c r="A139" s="64">
        <v>2</v>
      </c>
      <c r="B139" s="64">
        <v>6</v>
      </c>
      <c r="C139" s="72"/>
      <c r="D139" s="64"/>
      <c r="E139" s="73"/>
      <c r="F139" s="90" t="s">
        <v>93</v>
      </c>
      <c r="G139" s="78">
        <f>G140+G148+G152</f>
        <v>0</v>
      </c>
      <c r="H139" s="78">
        <f t="shared" ref="H139:R139" si="41">H140+H148+H152</f>
        <v>0</v>
      </c>
      <c r="I139" s="21" t="e">
        <f>I140+I148+I152+I141</f>
        <v>#REF!</v>
      </c>
      <c r="J139" s="78">
        <f t="shared" si="41"/>
        <v>0</v>
      </c>
      <c r="K139" s="78">
        <f t="shared" si="41"/>
        <v>0</v>
      </c>
      <c r="L139" s="78">
        <f t="shared" si="41"/>
        <v>10815.64</v>
      </c>
      <c r="M139" s="78">
        <f t="shared" si="41"/>
        <v>0</v>
      </c>
      <c r="N139" s="78">
        <f t="shared" si="41"/>
        <v>0</v>
      </c>
      <c r="O139" s="78">
        <f t="shared" si="41"/>
        <v>198522.47999999998</v>
      </c>
      <c r="P139" s="78">
        <f t="shared" si="41"/>
        <v>0</v>
      </c>
      <c r="Q139" s="78">
        <f t="shared" si="41"/>
        <v>0</v>
      </c>
      <c r="R139" s="78">
        <f t="shared" si="41"/>
        <v>0</v>
      </c>
      <c r="S139" s="78">
        <f>S140+S148+S152</f>
        <v>209338.12</v>
      </c>
      <c r="T139" s="79">
        <f>T140+T148+T152+T141</f>
        <v>-209338.12</v>
      </c>
    </row>
    <row r="140" spans="1:20" ht="16.5" thickBot="1">
      <c r="A140" s="64">
        <v>2</v>
      </c>
      <c r="B140" s="64">
        <v>6</v>
      </c>
      <c r="C140" s="72">
        <v>1</v>
      </c>
      <c r="D140" s="64"/>
      <c r="E140" s="117"/>
      <c r="F140" s="133" t="s">
        <v>94</v>
      </c>
      <c r="G140" s="80">
        <f>G142+G143+G144+G146+G147</f>
        <v>0</v>
      </c>
      <c r="H140" s="146">
        <f t="shared" ref="H140:S140" si="42">+H141+H142+H143+H144+H145+H146</f>
        <v>0</v>
      </c>
      <c r="I140" s="22">
        <f>I142+I143+I144+I146+I147</f>
        <v>0</v>
      </c>
      <c r="J140" s="146">
        <f t="shared" si="42"/>
        <v>0</v>
      </c>
      <c r="K140" s="146">
        <f t="shared" si="42"/>
        <v>0</v>
      </c>
      <c r="L140" s="146">
        <f t="shared" si="42"/>
        <v>10815.64</v>
      </c>
      <c r="M140" s="146">
        <f t="shared" si="42"/>
        <v>0</v>
      </c>
      <c r="N140" s="146">
        <f t="shared" si="42"/>
        <v>0</v>
      </c>
      <c r="O140" s="146">
        <f>+O141+O142+O143+O144+O145+O146</f>
        <v>198522.47999999998</v>
      </c>
      <c r="P140" s="146"/>
      <c r="Q140" s="146"/>
      <c r="R140" s="146"/>
      <c r="S140" s="146">
        <f t="shared" si="42"/>
        <v>209338.12</v>
      </c>
      <c r="T140" s="147">
        <f>T142+T143+T144+T146+T147</f>
        <v>-209338.12</v>
      </c>
    </row>
    <row r="141" spans="1:20" ht="16.5" thickBot="1">
      <c r="A141" s="64">
        <v>2</v>
      </c>
      <c r="B141" s="64">
        <v>6</v>
      </c>
      <c r="C141" s="72">
        <v>8</v>
      </c>
      <c r="D141" s="64">
        <v>8</v>
      </c>
      <c r="E141" s="117"/>
      <c r="F141" s="148" t="s">
        <v>121</v>
      </c>
      <c r="G141" s="95">
        <f>G143+G144+G145+G147+G148</f>
        <v>0</v>
      </c>
      <c r="H141" s="129">
        <f>H143+H144+H145+H147+H148</f>
        <v>0</v>
      </c>
      <c r="I141" s="22" t="e">
        <f>+G141-#REF!</f>
        <v>#REF!</v>
      </c>
      <c r="J141" s="129">
        <f>J143+J144+J145+J147+J148</f>
        <v>0</v>
      </c>
      <c r="K141" s="129">
        <f>K143+K144+K145+K147+K148</f>
        <v>0</v>
      </c>
      <c r="L141" s="129"/>
      <c r="M141" s="129"/>
      <c r="N141" s="149"/>
      <c r="O141" s="149"/>
      <c r="P141" s="149"/>
      <c r="Q141" s="149"/>
      <c r="R141" s="149"/>
      <c r="S141" s="88">
        <f>+H141+J141+K141+L141+M141+N141+O141+P141+Q141</f>
        <v>0</v>
      </c>
      <c r="T141" s="135">
        <f>+G141-S141</f>
        <v>0</v>
      </c>
    </row>
    <row r="142" spans="1:20" ht="31.5">
      <c r="A142" s="64">
        <v>2</v>
      </c>
      <c r="B142" s="64">
        <v>6</v>
      </c>
      <c r="C142" s="72">
        <v>1</v>
      </c>
      <c r="D142" s="64">
        <v>1</v>
      </c>
      <c r="E142" s="117"/>
      <c r="F142" s="132" t="s">
        <v>95</v>
      </c>
      <c r="G142" s="95"/>
      <c r="H142" s="96"/>
      <c r="I142" s="28"/>
      <c r="J142" s="96"/>
      <c r="K142" s="96"/>
      <c r="L142" s="96">
        <v>10815.64</v>
      </c>
      <c r="M142" s="96"/>
      <c r="N142" s="108"/>
      <c r="O142" s="108">
        <v>109126.39999999999</v>
      </c>
      <c r="P142" s="108"/>
      <c r="Q142" s="108"/>
      <c r="R142" s="108"/>
      <c r="S142" s="88">
        <f>+H142+J142+K142+L142+M142+N142+O142+P142+Q142</f>
        <v>119942.04</v>
      </c>
      <c r="T142" s="97">
        <f>+G142-S142</f>
        <v>-119942.04</v>
      </c>
    </row>
    <row r="143" spans="1:20" ht="15.75">
      <c r="A143" s="64">
        <v>2</v>
      </c>
      <c r="B143" s="64">
        <v>6</v>
      </c>
      <c r="C143" s="72">
        <v>1</v>
      </c>
      <c r="D143" s="64">
        <v>4</v>
      </c>
      <c r="E143" s="117"/>
      <c r="F143" s="132" t="s">
        <v>96</v>
      </c>
      <c r="G143" s="95"/>
      <c r="H143" s="96"/>
      <c r="I143" s="27"/>
      <c r="J143" s="96"/>
      <c r="K143" s="96"/>
      <c r="L143" s="96"/>
      <c r="M143" s="96"/>
      <c r="N143" s="108"/>
      <c r="O143" s="108">
        <v>44242.28</v>
      </c>
      <c r="P143" s="108"/>
      <c r="Q143" s="108"/>
      <c r="R143" s="108"/>
      <c r="S143" s="88">
        <f t="shared" ref="S143:S146" si="43">+H143+J143+K143+L143+M143+N143+O143+P143+Q143</f>
        <v>44242.28</v>
      </c>
      <c r="T143" s="97">
        <f>+G143-S143</f>
        <v>-44242.28</v>
      </c>
    </row>
    <row r="144" spans="1:20" ht="15.75">
      <c r="A144" s="64">
        <v>2</v>
      </c>
      <c r="B144" s="64">
        <v>6</v>
      </c>
      <c r="C144" s="72">
        <v>1</v>
      </c>
      <c r="D144" s="64">
        <v>7</v>
      </c>
      <c r="E144" s="117"/>
      <c r="F144" s="132" t="s">
        <v>97</v>
      </c>
      <c r="G144" s="95"/>
      <c r="H144" s="96">
        <v>0</v>
      </c>
      <c r="I144" s="27">
        <v>0</v>
      </c>
      <c r="J144" s="96">
        <v>0</v>
      </c>
      <c r="K144" s="96"/>
      <c r="L144" s="96"/>
      <c r="M144" s="96"/>
      <c r="N144" s="108"/>
      <c r="O144" s="108">
        <v>42373.8</v>
      </c>
      <c r="P144" s="108"/>
      <c r="Q144" s="108"/>
      <c r="R144" s="108"/>
      <c r="S144" s="88">
        <f t="shared" si="43"/>
        <v>42373.8</v>
      </c>
      <c r="T144" s="97">
        <f>+G144-S144</f>
        <v>-42373.8</v>
      </c>
    </row>
    <row r="145" spans="1:20" ht="15.75">
      <c r="A145" s="64">
        <v>2</v>
      </c>
      <c r="B145" s="64">
        <v>6</v>
      </c>
      <c r="C145" s="72">
        <v>1</v>
      </c>
      <c r="D145" s="64">
        <v>8</v>
      </c>
      <c r="E145" s="117"/>
      <c r="F145" s="132" t="s">
        <v>113</v>
      </c>
      <c r="G145" s="95"/>
      <c r="H145" s="96"/>
      <c r="I145" s="27"/>
      <c r="J145" s="96"/>
      <c r="K145" s="96"/>
      <c r="L145" s="96"/>
      <c r="M145" s="96"/>
      <c r="N145" s="108"/>
      <c r="O145" s="108"/>
      <c r="P145" s="108"/>
      <c r="Q145" s="108"/>
      <c r="R145" s="108"/>
      <c r="S145" s="88">
        <f t="shared" si="43"/>
        <v>0</v>
      </c>
      <c r="T145" s="97">
        <f t="shared" ref="T145" si="44">+G145-S145</f>
        <v>0</v>
      </c>
    </row>
    <row r="146" spans="1:20" ht="31.5">
      <c r="A146" s="64">
        <v>2</v>
      </c>
      <c r="B146" s="64">
        <v>6</v>
      </c>
      <c r="C146" s="72">
        <v>1</v>
      </c>
      <c r="D146" s="64">
        <v>9</v>
      </c>
      <c r="E146" s="117"/>
      <c r="F146" s="132" t="s">
        <v>98</v>
      </c>
      <c r="G146" s="95"/>
      <c r="H146" s="96"/>
      <c r="I146" s="27"/>
      <c r="J146" s="96"/>
      <c r="K146" s="96"/>
      <c r="L146" s="96"/>
      <c r="M146" s="96"/>
      <c r="N146" s="108"/>
      <c r="O146" s="108">
        <v>2780</v>
      </c>
      <c r="P146" s="108"/>
      <c r="Q146" s="108"/>
      <c r="R146" s="108"/>
      <c r="S146" s="88">
        <f t="shared" si="43"/>
        <v>2780</v>
      </c>
      <c r="T146" s="97">
        <f>+G146-S146</f>
        <v>-2780</v>
      </c>
    </row>
    <row r="147" spans="1:20" ht="15.75">
      <c r="A147" s="64"/>
      <c r="B147" s="64"/>
      <c r="C147" s="72"/>
      <c r="D147" s="64"/>
      <c r="E147" s="73"/>
      <c r="F147" s="133"/>
      <c r="G147" s="124"/>
      <c r="H147" s="78"/>
      <c r="I147" s="21">
        <f>+G147</f>
        <v>0</v>
      </c>
      <c r="J147" s="78"/>
      <c r="K147" s="78"/>
      <c r="L147" s="78"/>
      <c r="M147" s="78"/>
      <c r="N147" s="106"/>
      <c r="O147" s="106"/>
      <c r="P147" s="106"/>
      <c r="Q147" s="106"/>
      <c r="R147" s="106"/>
      <c r="S147" s="88">
        <f>+H147+J147+K147+L147+M147+N147</f>
        <v>0</v>
      </c>
      <c r="T147" s="79"/>
    </row>
    <row r="148" spans="1:20" ht="32.25" thickBot="1">
      <c r="A148" s="64">
        <v>2</v>
      </c>
      <c r="B148" s="64">
        <v>6</v>
      </c>
      <c r="C148" s="72">
        <v>2</v>
      </c>
      <c r="D148" s="64"/>
      <c r="E148" s="73"/>
      <c r="F148" s="133" t="s">
        <v>99</v>
      </c>
      <c r="G148" s="75">
        <f t="shared" ref="G148:T148" si="45">G149+G150</f>
        <v>0</v>
      </c>
      <c r="H148" s="115">
        <f t="shared" si="45"/>
        <v>0</v>
      </c>
      <c r="I148" s="31" t="e">
        <f t="shared" si="45"/>
        <v>#REF!</v>
      </c>
      <c r="J148" s="115">
        <f t="shared" si="45"/>
        <v>0</v>
      </c>
      <c r="K148" s="115">
        <f t="shared" si="45"/>
        <v>0</v>
      </c>
      <c r="L148" s="115">
        <f t="shared" si="45"/>
        <v>0</v>
      </c>
      <c r="M148" s="115">
        <f t="shared" si="45"/>
        <v>0</v>
      </c>
      <c r="N148" s="115">
        <f t="shared" si="45"/>
        <v>0</v>
      </c>
      <c r="O148" s="115">
        <f t="shared" si="45"/>
        <v>0</v>
      </c>
      <c r="P148" s="115">
        <f t="shared" si="45"/>
        <v>0</v>
      </c>
      <c r="Q148" s="115">
        <f t="shared" si="45"/>
        <v>0</v>
      </c>
      <c r="R148" s="115">
        <f t="shared" si="45"/>
        <v>0</v>
      </c>
      <c r="S148" s="96">
        <f t="shared" si="45"/>
        <v>0</v>
      </c>
      <c r="T148" s="110">
        <f t="shared" si="45"/>
        <v>0</v>
      </c>
    </row>
    <row r="149" spans="1:20" ht="31.5">
      <c r="A149" s="64">
        <v>2</v>
      </c>
      <c r="B149" s="64">
        <v>6</v>
      </c>
      <c r="C149" s="72">
        <v>2</v>
      </c>
      <c r="D149" s="64">
        <v>1</v>
      </c>
      <c r="E149" s="117"/>
      <c r="F149" s="93" t="s">
        <v>100</v>
      </c>
      <c r="G149" s="95"/>
      <c r="H149" s="96">
        <v>0</v>
      </c>
      <c r="I149" s="27">
        <v>0</v>
      </c>
      <c r="J149" s="96">
        <v>0</v>
      </c>
      <c r="K149" s="96"/>
      <c r="L149" s="96"/>
      <c r="M149" s="108"/>
      <c r="N149" s="99"/>
      <c r="O149" s="99"/>
      <c r="P149" s="99"/>
      <c r="Q149" s="99"/>
      <c r="R149" s="99"/>
      <c r="S149" s="111">
        <f>+H149+J149+K149+L149+M149+N149+O149+P149</f>
        <v>0</v>
      </c>
      <c r="T149" s="100">
        <f>+G149-S149</f>
        <v>0</v>
      </c>
    </row>
    <row r="150" spans="1:20" ht="31.5">
      <c r="A150" s="64">
        <v>2</v>
      </c>
      <c r="B150" s="64">
        <v>6</v>
      </c>
      <c r="C150" s="72">
        <v>2</v>
      </c>
      <c r="D150" s="64">
        <v>3</v>
      </c>
      <c r="E150" s="117"/>
      <c r="F150" s="93" t="s">
        <v>101</v>
      </c>
      <c r="G150" s="95"/>
      <c r="H150" s="96">
        <f>G150*12</f>
        <v>0</v>
      </c>
      <c r="I150" s="27" t="e">
        <f>+G150-#REF!</f>
        <v>#REF!</v>
      </c>
      <c r="J150" s="96"/>
      <c r="K150" s="96"/>
      <c r="L150" s="96"/>
      <c r="M150" s="108"/>
      <c r="N150" s="96"/>
      <c r="O150" s="96"/>
      <c r="P150" s="96"/>
      <c r="Q150" s="96"/>
      <c r="R150" s="96"/>
      <c r="S150" s="88">
        <f>+H150+J150+K150+L150+M150+N150+O150+P150</f>
        <v>0</v>
      </c>
      <c r="T150" s="97">
        <f>+G150-S150</f>
        <v>0</v>
      </c>
    </row>
    <row r="151" spans="1:20" ht="15.75">
      <c r="A151" s="64"/>
      <c r="B151" s="64"/>
      <c r="C151" s="72"/>
      <c r="D151" s="64"/>
      <c r="E151" s="73"/>
      <c r="F151" s="90"/>
      <c r="G151" s="124"/>
      <c r="H151" s="78"/>
      <c r="I151" s="21"/>
      <c r="J151" s="78"/>
      <c r="K151" s="78"/>
      <c r="L151" s="78"/>
      <c r="M151" s="106"/>
      <c r="N151" s="78"/>
      <c r="O151" s="78"/>
      <c r="P151" s="78"/>
      <c r="Q151" s="78"/>
      <c r="R151" s="78"/>
      <c r="S151" s="78"/>
      <c r="T151" s="79"/>
    </row>
    <row r="152" spans="1:20" ht="48" thickBot="1">
      <c r="A152" s="64">
        <v>2</v>
      </c>
      <c r="B152" s="64">
        <v>6</v>
      </c>
      <c r="C152" s="72">
        <v>4</v>
      </c>
      <c r="D152" s="64"/>
      <c r="E152" s="73"/>
      <c r="F152" s="90" t="s">
        <v>102</v>
      </c>
      <c r="G152" s="124">
        <f>G154+G155+G153</f>
        <v>0</v>
      </c>
      <c r="H152" s="96">
        <f t="shared" ref="H152:T152" si="46">H153+H154</f>
        <v>0</v>
      </c>
      <c r="I152" s="27">
        <f t="shared" si="46"/>
        <v>0</v>
      </c>
      <c r="J152" s="96">
        <f t="shared" si="46"/>
        <v>0</v>
      </c>
      <c r="K152" s="96">
        <f t="shared" si="46"/>
        <v>0</v>
      </c>
      <c r="L152" s="96">
        <f t="shared" si="46"/>
        <v>0</v>
      </c>
      <c r="M152" s="108">
        <f t="shared" si="46"/>
        <v>0</v>
      </c>
      <c r="N152" s="115">
        <f t="shared" si="46"/>
        <v>0</v>
      </c>
      <c r="O152" s="115">
        <f t="shared" si="46"/>
        <v>0</v>
      </c>
      <c r="P152" s="115">
        <f t="shared" si="46"/>
        <v>0</v>
      </c>
      <c r="Q152" s="115">
        <f t="shared" si="46"/>
        <v>0</v>
      </c>
      <c r="R152" s="115">
        <f t="shared" si="46"/>
        <v>0</v>
      </c>
      <c r="S152" s="115">
        <f t="shared" si="46"/>
        <v>0</v>
      </c>
      <c r="T152" s="110">
        <f t="shared" si="46"/>
        <v>0</v>
      </c>
    </row>
    <row r="153" spans="1:20" ht="47.25">
      <c r="A153" s="64">
        <v>2</v>
      </c>
      <c r="B153" s="64">
        <v>6</v>
      </c>
      <c r="C153" s="72">
        <v>4</v>
      </c>
      <c r="D153" s="64"/>
      <c r="E153" s="73"/>
      <c r="F153" s="132" t="s">
        <v>102</v>
      </c>
      <c r="G153" s="84"/>
      <c r="H153" s="99">
        <v>0</v>
      </c>
      <c r="I153" s="28">
        <v>0</v>
      </c>
      <c r="J153" s="99">
        <v>0</v>
      </c>
      <c r="K153" s="99"/>
      <c r="L153" s="99"/>
      <c r="M153" s="99"/>
      <c r="N153" s="96"/>
      <c r="O153" s="96"/>
      <c r="P153" s="96"/>
      <c r="Q153" s="96"/>
      <c r="R153" s="96"/>
      <c r="S153" s="88">
        <f>+H153+J153+K153+L153+M153+N153+O153+P153</f>
        <v>0</v>
      </c>
      <c r="T153" s="97">
        <f>+G153-S153</f>
        <v>0</v>
      </c>
    </row>
    <row r="154" spans="1:20" ht="15.75">
      <c r="A154" s="64">
        <v>2</v>
      </c>
      <c r="B154" s="64">
        <v>6</v>
      </c>
      <c r="C154" s="72">
        <v>4</v>
      </c>
      <c r="D154" s="64">
        <v>1</v>
      </c>
      <c r="E154" s="64"/>
      <c r="F154" s="132" t="s">
        <v>109</v>
      </c>
      <c r="G154" s="95"/>
      <c r="H154" s="96">
        <v>0</v>
      </c>
      <c r="I154" s="27">
        <v>0</v>
      </c>
      <c r="J154" s="96">
        <v>0</v>
      </c>
      <c r="K154" s="96"/>
      <c r="L154" s="96"/>
      <c r="M154" s="96"/>
      <c r="N154" s="96"/>
      <c r="O154" s="96"/>
      <c r="P154" s="96"/>
      <c r="Q154" s="96"/>
      <c r="R154" s="96"/>
      <c r="S154" s="88">
        <f>+H154+J154+K154+L154+M154</f>
        <v>0</v>
      </c>
      <c r="T154" s="97">
        <f>+G154-S154</f>
        <v>0</v>
      </c>
    </row>
    <row r="155" spans="1:20" ht="15.75">
      <c r="A155" s="64">
        <v>2</v>
      </c>
      <c r="B155" s="64">
        <v>6</v>
      </c>
      <c r="C155" s="72">
        <v>4</v>
      </c>
      <c r="D155" s="64">
        <v>7</v>
      </c>
      <c r="E155" s="64"/>
      <c r="F155" s="132" t="s">
        <v>103</v>
      </c>
      <c r="G155" s="95">
        <v>0</v>
      </c>
      <c r="H155" s="96">
        <v>0</v>
      </c>
      <c r="I155" s="27">
        <v>0</v>
      </c>
      <c r="J155" s="96">
        <v>0</v>
      </c>
      <c r="K155" s="96"/>
      <c r="L155" s="96"/>
      <c r="M155" s="96"/>
      <c r="N155" s="96"/>
      <c r="O155" s="96"/>
      <c r="P155" s="96"/>
      <c r="Q155" s="96"/>
      <c r="R155" s="96"/>
      <c r="S155" s="88">
        <f>+H155+J155+K155+L155+M155</f>
        <v>0</v>
      </c>
      <c r="T155" s="97">
        <f>+G155-S155</f>
        <v>0</v>
      </c>
    </row>
    <row r="156" spans="1:20" ht="16.5" thickBot="1">
      <c r="A156" s="64"/>
      <c r="B156" s="64"/>
      <c r="C156" s="72"/>
      <c r="D156" s="63"/>
      <c r="E156" s="64"/>
      <c r="F156" s="132"/>
      <c r="G156" s="101"/>
      <c r="H156" s="115"/>
      <c r="I156" s="27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97"/>
    </row>
    <row r="157" spans="1:20" ht="16.5" thickBot="1">
      <c r="A157" s="150"/>
      <c r="B157" s="150"/>
      <c r="C157" s="151"/>
      <c r="D157" s="152"/>
      <c r="E157" s="152"/>
      <c r="F157" s="153" t="s">
        <v>104</v>
      </c>
      <c r="G157" s="75">
        <f t="shared" ref="G157:T157" si="47">G113+G52+G12</f>
        <v>54039167.5</v>
      </c>
      <c r="H157" s="76">
        <f t="shared" si="47"/>
        <v>3087103.98</v>
      </c>
      <c r="I157" s="76" t="e">
        <f t="shared" si="47"/>
        <v>#REF!</v>
      </c>
      <c r="J157" s="76">
        <f t="shared" si="47"/>
        <v>3272561.4400000004</v>
      </c>
      <c r="K157" s="76">
        <f t="shared" si="47"/>
        <v>3296314.58</v>
      </c>
      <c r="L157" s="76">
        <f t="shared" si="47"/>
        <v>3958386.4610000001</v>
      </c>
      <c r="M157" s="76">
        <f t="shared" si="47"/>
        <v>3698270.74</v>
      </c>
      <c r="N157" s="76">
        <f t="shared" si="47"/>
        <v>3595808.3900000006</v>
      </c>
      <c r="O157" s="76">
        <f t="shared" si="47"/>
        <v>3869378.4699999997</v>
      </c>
      <c r="P157" s="76">
        <f t="shared" si="47"/>
        <v>4342702.32</v>
      </c>
      <c r="Q157" s="76">
        <f t="shared" si="47"/>
        <v>4242746.1899999995</v>
      </c>
      <c r="R157" s="76">
        <f t="shared" si="47"/>
        <v>4274692.3100000005</v>
      </c>
      <c r="S157" s="125">
        <f t="shared" si="47"/>
        <v>37637964.880999997</v>
      </c>
      <c r="T157" s="154">
        <f t="shared" si="47"/>
        <v>16401203.619000001</v>
      </c>
    </row>
    <row r="158" spans="1:20" ht="15.75">
      <c r="A158" s="46"/>
      <c r="B158" s="46"/>
      <c r="C158" s="155"/>
      <c r="D158" s="155"/>
      <c r="E158" s="155"/>
      <c r="F158" s="155"/>
      <c r="G158" s="156"/>
      <c r="H158" s="157"/>
      <c r="I158" s="7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8"/>
    </row>
    <row r="159" spans="1:20" ht="18">
      <c r="A159" s="46"/>
      <c r="B159" s="46"/>
      <c r="C159" s="155"/>
      <c r="D159" s="155"/>
      <c r="E159" s="159"/>
      <c r="F159" s="160"/>
      <c r="G159" s="156"/>
      <c r="H159" s="161"/>
      <c r="I159" s="36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62"/>
    </row>
    <row r="160" spans="1:20" ht="18">
      <c r="A160" s="46"/>
      <c r="B160" s="46"/>
      <c r="C160" s="155"/>
      <c r="D160" s="155"/>
      <c r="E160" s="163"/>
      <c r="F160" s="164"/>
      <c r="G160" s="165"/>
      <c r="H160" s="166"/>
      <c r="I160" s="8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8"/>
    </row>
    <row r="161" spans="1:20" ht="21" thickBot="1">
      <c r="A161" s="38"/>
      <c r="B161" s="38"/>
      <c r="C161" s="38"/>
      <c r="D161" s="38"/>
      <c r="E161" s="169"/>
      <c r="F161" s="170"/>
      <c r="G161" s="171"/>
      <c r="H161" s="172"/>
      <c r="I161" s="9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4"/>
    </row>
    <row r="162" spans="1:20" ht="20.25">
      <c r="A162" s="38"/>
      <c r="B162" s="38"/>
      <c r="C162" s="38"/>
      <c r="D162" s="38"/>
      <c r="E162" s="169"/>
      <c r="F162" s="175" t="s">
        <v>112</v>
      </c>
      <c r="G162" s="176"/>
      <c r="H162" s="177"/>
      <c r="I162" s="12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9"/>
    </row>
    <row r="163" spans="1:20" ht="20.25">
      <c r="A163" s="38"/>
      <c r="B163" s="38"/>
      <c r="C163" s="38"/>
      <c r="D163" s="38"/>
      <c r="E163" s="169"/>
      <c r="F163" s="170" t="s">
        <v>111</v>
      </c>
      <c r="G163" s="180"/>
      <c r="H163" s="177"/>
      <c r="I163" s="10"/>
      <c r="J163" s="181"/>
      <c r="K163" s="181"/>
      <c r="L163" s="181"/>
      <c r="M163" s="178"/>
      <c r="N163" s="178"/>
      <c r="O163" s="178"/>
      <c r="P163" s="178"/>
      <c r="Q163" s="178"/>
      <c r="R163" s="178"/>
      <c r="S163" s="178"/>
      <c r="T163" s="182"/>
    </row>
    <row r="164" spans="1:20" ht="20.25">
      <c r="A164" s="38"/>
      <c r="B164" s="38"/>
      <c r="C164" s="38"/>
      <c r="D164" s="38"/>
      <c r="E164" s="169"/>
      <c r="F164" s="170"/>
      <c r="G164" s="180"/>
      <c r="H164" s="177"/>
      <c r="I164" s="10"/>
      <c r="J164" s="181"/>
      <c r="K164" s="181"/>
      <c r="L164" s="181"/>
      <c r="M164" s="178"/>
      <c r="N164" s="178"/>
      <c r="O164" s="178"/>
      <c r="P164" s="178"/>
      <c r="Q164" s="178"/>
      <c r="R164" s="178"/>
      <c r="S164" s="178"/>
      <c r="T164" s="182"/>
    </row>
    <row r="165" spans="1:20" ht="20.25">
      <c r="A165" s="38"/>
      <c r="B165" s="38"/>
      <c r="C165" s="38"/>
      <c r="D165" s="38"/>
      <c r="E165" s="169"/>
      <c r="F165" s="170"/>
      <c r="G165" s="180"/>
      <c r="H165" s="177"/>
      <c r="I165" s="10"/>
      <c r="J165" s="181"/>
      <c r="K165" s="181"/>
      <c r="L165" s="181"/>
      <c r="M165" s="178"/>
      <c r="N165" s="178"/>
      <c r="O165" s="178"/>
      <c r="P165" s="178"/>
      <c r="Q165" s="178"/>
      <c r="R165" s="178"/>
      <c r="S165" s="178"/>
      <c r="T165" s="182"/>
    </row>
    <row r="166" spans="1:20" ht="20.25">
      <c r="A166" s="38"/>
      <c r="B166" s="38"/>
      <c r="C166" s="38"/>
      <c r="D166" s="38"/>
      <c r="E166" s="169"/>
      <c r="F166" s="170"/>
      <c r="G166" s="183"/>
      <c r="H166" s="177"/>
      <c r="I166" s="177"/>
      <c r="J166" s="184"/>
      <c r="K166" s="184"/>
      <c r="L166" s="181"/>
      <c r="M166" s="178"/>
      <c r="N166" s="178"/>
      <c r="O166" s="178"/>
      <c r="P166" s="178"/>
      <c r="Q166" s="178"/>
      <c r="R166" s="178"/>
      <c r="S166" s="178"/>
      <c r="T166" s="182"/>
    </row>
    <row r="167" spans="1:20" ht="18.75" customHeight="1">
      <c r="A167" s="38"/>
      <c r="B167" s="38"/>
      <c r="C167" s="38"/>
      <c r="D167" s="38"/>
      <c r="E167" s="169"/>
      <c r="F167" s="170"/>
      <c r="G167" s="183"/>
      <c r="H167" s="185"/>
      <c r="I167" s="177"/>
      <c r="J167" s="177"/>
      <c r="K167" s="177"/>
      <c r="L167" s="186"/>
      <c r="M167" s="187"/>
      <c r="N167" s="188"/>
      <c r="O167" s="188"/>
      <c r="P167" s="188"/>
      <c r="Q167" s="188"/>
      <c r="R167" s="188"/>
      <c r="S167" s="188"/>
      <c r="T167" s="182"/>
    </row>
    <row r="168" spans="1:20" ht="18" customHeight="1">
      <c r="A168" s="38"/>
      <c r="B168" s="38"/>
      <c r="C168" s="38"/>
      <c r="D168" s="38"/>
      <c r="E168" s="169"/>
      <c r="F168" s="170"/>
      <c r="G168" s="183"/>
      <c r="H168" s="185"/>
      <c r="I168" s="177"/>
      <c r="J168" s="185"/>
      <c r="K168" s="185"/>
      <c r="L168" s="189"/>
      <c r="M168" s="15"/>
      <c r="N168" s="26"/>
      <c r="O168" s="26"/>
      <c r="P168" s="26"/>
      <c r="Q168" s="26"/>
      <c r="R168" s="26"/>
      <c r="S168" s="26"/>
      <c r="T168" s="182"/>
    </row>
    <row r="169" spans="1:20" ht="21" thickBot="1">
      <c r="A169" s="38"/>
      <c r="B169" s="38"/>
      <c r="C169" s="38"/>
      <c r="D169" s="38"/>
      <c r="E169" s="169"/>
      <c r="F169" s="190"/>
      <c r="G169" s="183"/>
      <c r="H169" s="185"/>
      <c r="I169" s="177"/>
      <c r="J169" s="185"/>
      <c r="K169" s="185"/>
      <c r="L169" s="189"/>
      <c r="M169" s="15"/>
      <c r="N169" s="15"/>
      <c r="O169" s="15"/>
      <c r="P169" s="15"/>
      <c r="Q169" s="15"/>
      <c r="R169" s="15"/>
      <c r="S169" s="15"/>
      <c r="T169" s="179"/>
    </row>
    <row r="170" spans="1:20" ht="20.25">
      <c r="A170" s="38"/>
      <c r="B170" s="38"/>
      <c r="C170" s="38"/>
      <c r="D170" s="38"/>
      <c r="E170" s="169"/>
      <c r="F170" s="170" t="s">
        <v>118</v>
      </c>
      <c r="G170" s="191"/>
      <c r="H170" s="189"/>
      <c r="I170" s="10"/>
      <c r="J170" s="189"/>
      <c r="K170" s="189"/>
      <c r="L170" s="189"/>
      <c r="M170" s="15"/>
      <c r="N170" s="15"/>
      <c r="O170" s="15"/>
      <c r="P170" s="15"/>
      <c r="Q170" s="15"/>
      <c r="R170" s="15"/>
      <c r="S170" s="15"/>
      <c r="T170" s="179"/>
    </row>
    <row r="171" spans="1:20" ht="20.25">
      <c r="A171" s="38"/>
      <c r="B171" s="38"/>
      <c r="C171" s="38"/>
      <c r="D171" s="38"/>
      <c r="E171" s="169"/>
      <c r="F171" s="170" t="s">
        <v>122</v>
      </c>
      <c r="G171" s="191"/>
      <c r="H171" s="189"/>
      <c r="I171" s="10"/>
      <c r="J171" s="189"/>
      <c r="K171" s="189"/>
      <c r="L171" s="189"/>
      <c r="M171" s="15"/>
      <c r="N171" s="15"/>
      <c r="O171" s="15"/>
      <c r="P171" s="15"/>
      <c r="Q171" s="15"/>
      <c r="R171" s="15"/>
      <c r="S171" s="15"/>
      <c r="T171" s="179"/>
    </row>
    <row r="172" spans="1:20" ht="18" customHeight="1">
      <c r="A172" s="38"/>
      <c r="B172" s="38"/>
      <c r="C172" s="38"/>
      <c r="D172" s="38"/>
      <c r="E172" s="169"/>
      <c r="F172" s="170"/>
      <c r="G172" s="171"/>
      <c r="H172" s="189"/>
      <c r="I172" s="11"/>
      <c r="J172" s="189"/>
      <c r="K172" s="189"/>
      <c r="L172" s="189"/>
      <c r="M172" s="15"/>
      <c r="N172" s="15"/>
      <c r="O172" s="15"/>
      <c r="P172" s="15"/>
      <c r="Q172" s="15"/>
      <c r="R172" s="15"/>
      <c r="S172" s="15"/>
      <c r="T172" s="192"/>
    </row>
    <row r="173" spans="1:20" ht="20.25">
      <c r="A173" s="38"/>
      <c r="B173" s="38"/>
      <c r="C173" s="38"/>
      <c r="D173" s="38"/>
      <c r="E173" s="169"/>
      <c r="F173" s="170"/>
      <c r="G173" s="170"/>
      <c r="H173" s="189"/>
      <c r="I173" s="10"/>
      <c r="J173" s="189"/>
      <c r="K173" s="193"/>
      <c r="L173" s="193"/>
      <c r="M173" s="193"/>
      <c r="N173" s="193"/>
      <c r="O173" s="193"/>
      <c r="P173" s="193"/>
      <c r="Q173" s="193"/>
      <c r="R173" s="193"/>
      <c r="S173" s="15"/>
      <c r="T173" s="182"/>
    </row>
    <row r="174" spans="1:20" ht="19.5" customHeight="1">
      <c r="A174" s="38"/>
      <c r="B174" s="38"/>
      <c r="C174" s="38"/>
      <c r="D174" s="38"/>
      <c r="E174" s="169"/>
      <c r="F174" s="170"/>
      <c r="G174" s="170"/>
      <c r="H174" s="194"/>
      <c r="I174" s="10"/>
      <c r="J174" s="15"/>
      <c r="K174" s="195"/>
      <c r="L174" s="195"/>
      <c r="M174" s="195"/>
      <c r="N174" s="196"/>
      <c r="O174" s="196"/>
      <c r="P174" s="196"/>
      <c r="Q174" s="196"/>
      <c r="R174" s="196"/>
      <c r="S174" s="15"/>
      <c r="T174" s="182"/>
    </row>
    <row r="175" spans="1:20" ht="19.5" customHeight="1">
      <c r="A175" s="38"/>
      <c r="B175" s="38"/>
      <c r="C175" s="38"/>
      <c r="D175" s="38"/>
      <c r="E175" s="169"/>
      <c r="F175" s="169"/>
      <c r="G175" s="169"/>
      <c r="H175" s="197"/>
      <c r="I175" s="13"/>
      <c r="J175" s="15"/>
      <c r="K175" s="195"/>
      <c r="L175" s="195"/>
      <c r="M175" s="195"/>
      <c r="N175" s="196"/>
      <c r="O175" s="196"/>
      <c r="P175" s="196"/>
      <c r="Q175" s="196"/>
      <c r="R175" s="196"/>
      <c r="S175" s="15"/>
      <c r="T175" s="182"/>
    </row>
    <row r="176" spans="1:20" ht="20.25">
      <c r="A176" s="38"/>
      <c r="B176" s="38"/>
      <c r="C176" s="38"/>
      <c r="D176" s="38"/>
      <c r="E176" s="169"/>
      <c r="F176" s="169"/>
      <c r="G176" s="169"/>
      <c r="H176" s="197"/>
      <c r="I176" s="13"/>
      <c r="J176" s="15"/>
      <c r="K176" s="198"/>
      <c r="L176" s="198"/>
      <c r="M176" s="198"/>
      <c r="N176" s="196"/>
      <c r="O176" s="196"/>
      <c r="P176" s="196"/>
      <c r="Q176" s="196"/>
      <c r="R176" s="196"/>
      <c r="S176" s="15"/>
      <c r="T176" s="182"/>
    </row>
    <row r="177" spans="1:20" ht="18" customHeight="1" thickBot="1">
      <c r="A177" s="38"/>
      <c r="B177" s="38"/>
      <c r="C177" s="38"/>
      <c r="D177" s="38"/>
      <c r="E177" s="169"/>
      <c r="F177" s="190"/>
      <c r="G177" s="169"/>
      <c r="H177" s="197"/>
      <c r="I177" s="13"/>
      <c r="J177" s="15"/>
      <c r="K177" s="193"/>
      <c r="L177" s="193"/>
      <c r="M177" s="193"/>
      <c r="N177" s="196"/>
      <c r="O177" s="196"/>
      <c r="P177" s="196"/>
      <c r="Q177" s="196"/>
      <c r="R177" s="196"/>
      <c r="S177" s="15"/>
      <c r="T177" s="182"/>
    </row>
    <row r="178" spans="1:20" ht="18" customHeight="1">
      <c r="A178" s="38"/>
      <c r="B178" s="38"/>
      <c r="C178" s="38"/>
      <c r="D178" s="38"/>
      <c r="E178" s="169"/>
      <c r="F178" s="170" t="s">
        <v>115</v>
      </c>
      <c r="G178" s="169"/>
      <c r="H178" s="197"/>
      <c r="I178" s="13"/>
      <c r="J178" s="15"/>
      <c r="K178" s="193"/>
      <c r="L178" s="193"/>
      <c r="M178" s="193"/>
      <c r="N178" s="198"/>
      <c r="O178" s="198"/>
      <c r="P178" s="198"/>
      <c r="Q178" s="198"/>
      <c r="R178" s="198"/>
      <c r="S178" s="15"/>
      <c r="T178" s="182"/>
    </row>
    <row r="179" spans="1:20" ht="15" customHeight="1">
      <c r="A179" s="38"/>
      <c r="B179" s="38"/>
      <c r="C179" s="38"/>
      <c r="D179" s="38"/>
      <c r="E179" s="169"/>
      <c r="F179" s="170" t="s">
        <v>119</v>
      </c>
      <c r="G179" s="169"/>
      <c r="H179" s="197"/>
      <c r="I179" s="15"/>
      <c r="J179" s="15"/>
      <c r="K179" s="193"/>
      <c r="L179" s="193"/>
      <c r="M179" s="193"/>
      <c r="N179" s="198"/>
      <c r="O179" s="198"/>
      <c r="P179" s="198"/>
      <c r="Q179" s="198"/>
      <c r="R179" s="198"/>
      <c r="S179" s="15"/>
      <c r="T179" s="182"/>
    </row>
    <row r="180" spans="1:20" ht="15" customHeight="1">
      <c r="A180" s="38"/>
      <c r="B180" s="38"/>
      <c r="C180" s="38"/>
      <c r="D180" s="38"/>
      <c r="E180" s="169"/>
      <c r="F180" s="170"/>
      <c r="G180" s="169"/>
      <c r="H180" s="197"/>
      <c r="I180" s="15"/>
      <c r="J180" s="15"/>
      <c r="K180" s="15"/>
      <c r="L180" s="15"/>
      <c r="M180" s="15"/>
      <c r="N180" s="198"/>
      <c r="O180" s="198"/>
      <c r="P180" s="198"/>
      <c r="Q180" s="198"/>
      <c r="R180" s="198"/>
      <c r="S180" s="15"/>
      <c r="T180" s="182"/>
    </row>
    <row r="181" spans="1:20" ht="15" customHeight="1">
      <c r="A181" s="38"/>
      <c r="B181" s="38"/>
      <c r="C181" s="38"/>
      <c r="D181" s="38"/>
      <c r="E181" s="38"/>
      <c r="F181" s="38"/>
      <c r="G181" s="38"/>
      <c r="H181" s="39"/>
      <c r="I181" s="15"/>
      <c r="J181" s="15"/>
      <c r="K181" s="15"/>
      <c r="L181" s="15"/>
      <c r="M181" s="15"/>
      <c r="N181" s="198"/>
      <c r="O181" s="198"/>
      <c r="P181" s="198"/>
      <c r="Q181" s="198"/>
      <c r="R181" s="198"/>
      <c r="S181" s="15"/>
      <c r="T181" s="182"/>
    </row>
    <row r="182" spans="1:20" ht="15" customHeight="1">
      <c r="A182" s="38"/>
      <c r="B182" s="38"/>
      <c r="C182" s="38"/>
      <c r="D182" s="38"/>
      <c r="E182" s="38"/>
      <c r="F182" s="38"/>
      <c r="G182" s="38"/>
      <c r="H182" s="39"/>
      <c r="I182" s="15"/>
      <c r="J182" s="15"/>
      <c r="K182" s="15"/>
      <c r="L182" s="15"/>
      <c r="M182" s="15"/>
      <c r="N182" s="198"/>
      <c r="O182" s="198"/>
      <c r="P182" s="198"/>
      <c r="Q182" s="198"/>
      <c r="R182" s="198"/>
      <c r="S182" s="15"/>
      <c r="T182" s="182"/>
    </row>
    <row r="183" spans="1:20" ht="15" customHeight="1">
      <c r="A183" s="38"/>
      <c r="B183" s="38"/>
      <c r="C183" s="38"/>
      <c r="D183" s="38"/>
      <c r="E183" s="38"/>
      <c r="F183" s="38"/>
      <c r="G183" s="38"/>
      <c r="H183" s="39"/>
      <c r="I183" s="15"/>
      <c r="J183" s="15"/>
      <c r="K183" s="15"/>
      <c r="L183" s="15"/>
      <c r="M183" s="15"/>
      <c r="N183" s="198"/>
      <c r="O183" s="198"/>
      <c r="P183" s="198"/>
      <c r="Q183" s="198"/>
      <c r="R183" s="198"/>
      <c r="S183" s="15"/>
      <c r="T183" s="182"/>
    </row>
    <row r="184" spans="1:20" ht="29.25" customHeight="1">
      <c r="A184" s="38"/>
      <c r="B184" s="38"/>
      <c r="C184" s="38"/>
      <c r="D184" s="38"/>
      <c r="E184" s="38"/>
      <c r="F184" s="38"/>
      <c r="G184" s="38"/>
      <c r="H184" s="39"/>
      <c r="I184" s="15"/>
      <c r="J184" s="15"/>
      <c r="K184" s="15"/>
      <c r="L184" s="15"/>
      <c r="M184" s="15"/>
      <c r="N184" s="198"/>
      <c r="O184" s="198"/>
      <c r="P184" s="198"/>
      <c r="Q184" s="198"/>
      <c r="R184" s="198"/>
      <c r="S184" s="15"/>
      <c r="T184" s="182"/>
    </row>
    <row r="185" spans="1:20" ht="15" customHeight="1">
      <c r="A185" s="38"/>
      <c r="B185" s="38"/>
      <c r="C185" s="38"/>
      <c r="D185" s="38"/>
      <c r="E185" s="38"/>
      <c r="G185" s="38"/>
      <c r="H185" s="39"/>
      <c r="I185" s="15"/>
      <c r="J185" s="15"/>
      <c r="K185" s="15"/>
      <c r="L185" s="15"/>
      <c r="M185" s="15"/>
      <c r="N185" s="193"/>
      <c r="O185" s="193"/>
      <c r="P185" s="193"/>
      <c r="Q185" s="193"/>
      <c r="R185" s="193"/>
      <c r="S185" s="15"/>
      <c r="T185" s="182"/>
    </row>
    <row r="186" spans="1:20">
      <c r="A186" s="38"/>
      <c r="B186" s="38"/>
      <c r="C186" s="38"/>
      <c r="D186" s="38"/>
      <c r="E186" s="38"/>
      <c r="F186" s="199"/>
      <c r="G186" s="38"/>
      <c r="H186" s="39"/>
      <c r="I186" s="15"/>
      <c r="J186" s="15"/>
      <c r="K186" s="15"/>
      <c r="L186" s="15"/>
      <c r="M186" s="15"/>
      <c r="N186" s="200"/>
      <c r="O186" s="200"/>
      <c r="P186" s="200"/>
      <c r="Q186" s="200"/>
      <c r="R186" s="200"/>
      <c r="S186" s="15"/>
      <c r="T186" s="182"/>
    </row>
    <row r="187" spans="1:20" ht="15" customHeight="1">
      <c r="A187" s="38"/>
      <c r="B187" s="38"/>
      <c r="C187" s="38"/>
      <c r="D187" s="38"/>
      <c r="E187" s="38"/>
      <c r="F187" s="38"/>
      <c r="G187" s="38"/>
      <c r="H187" s="39"/>
      <c r="I187" s="15"/>
      <c r="J187" s="15"/>
      <c r="K187" s="15"/>
      <c r="L187" s="15"/>
      <c r="M187" s="15"/>
      <c r="N187" s="201"/>
      <c r="O187" s="201"/>
      <c r="P187" s="201"/>
      <c r="Q187" s="201"/>
      <c r="R187" s="201"/>
      <c r="S187" s="15"/>
      <c r="T187" s="182"/>
    </row>
    <row r="188" spans="1:20" ht="15" customHeight="1">
      <c r="A188" s="38"/>
      <c r="B188" s="38"/>
      <c r="C188" s="38"/>
      <c r="D188" s="38"/>
      <c r="E188" s="38"/>
      <c r="F188" s="38"/>
      <c r="G188" s="38"/>
      <c r="H188" s="39"/>
      <c r="I188" s="15"/>
      <c r="J188" s="15"/>
      <c r="K188" s="15"/>
      <c r="L188" s="15"/>
      <c r="M188" s="15"/>
      <c r="N188" s="200"/>
      <c r="O188" s="200"/>
      <c r="P188" s="200"/>
      <c r="Q188" s="200"/>
      <c r="R188" s="200"/>
      <c r="S188" s="15"/>
      <c r="T188" s="202"/>
    </row>
    <row r="189" spans="1:20" ht="15.75" customHeight="1">
      <c r="A189" s="38"/>
      <c r="B189" s="38"/>
      <c r="C189" s="38"/>
      <c r="D189" s="38"/>
      <c r="E189" s="38"/>
      <c r="F189" s="38"/>
      <c r="G189" s="38"/>
      <c r="H189" s="39"/>
      <c r="I189" s="15"/>
      <c r="J189" s="15"/>
      <c r="K189" s="15"/>
      <c r="L189" s="15"/>
      <c r="M189" s="15"/>
      <c r="N189" s="201"/>
      <c r="O189" s="201"/>
      <c r="P189" s="201"/>
      <c r="Q189" s="201"/>
      <c r="R189" s="201"/>
      <c r="S189" s="15"/>
      <c r="T189" s="202"/>
    </row>
    <row r="190" spans="1:20">
      <c r="H190" s="14"/>
      <c r="I190" s="15"/>
      <c r="J190" s="15"/>
      <c r="K190" s="15"/>
      <c r="L190" s="15"/>
      <c r="M190" s="15"/>
      <c r="N190" s="16"/>
      <c r="O190" s="16"/>
      <c r="P190" s="16"/>
      <c r="Q190" s="16"/>
      <c r="R190" s="16"/>
      <c r="S190" s="15"/>
      <c r="T190" s="203"/>
    </row>
    <row r="191" spans="1:20"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203"/>
    </row>
    <row r="192" spans="1:20"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203"/>
    </row>
    <row r="193" spans="9:20"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203"/>
    </row>
    <row r="194" spans="9:20"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203"/>
    </row>
    <row r="195" spans="9:20"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204"/>
    </row>
    <row r="196" spans="9:20"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96"/>
    </row>
    <row r="197" spans="9:20"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204"/>
    </row>
    <row r="198" spans="9:20"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204"/>
    </row>
    <row r="199" spans="9:20"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204"/>
    </row>
    <row r="200" spans="9:20"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204"/>
    </row>
    <row r="201" spans="9:20"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204"/>
    </row>
    <row r="202" spans="9:20"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205"/>
    </row>
    <row r="203" spans="9:20"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205"/>
    </row>
    <row r="204" spans="9:20"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205"/>
    </row>
    <row r="205" spans="9:20"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205"/>
    </row>
    <row r="206" spans="9:20"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205"/>
    </row>
    <row r="207" spans="9:20"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205"/>
    </row>
    <row r="208" spans="9:20"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205"/>
    </row>
    <row r="209" spans="9:20"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205"/>
    </row>
    <row r="210" spans="9:20"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205"/>
    </row>
    <row r="211" spans="9:20"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205"/>
    </row>
    <row r="212" spans="9:20"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205"/>
    </row>
    <row r="213" spans="9:20"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205"/>
    </row>
    <row r="214" spans="9:20"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205"/>
    </row>
    <row r="215" spans="9:20"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205"/>
    </row>
    <row r="216" spans="9:20"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205"/>
    </row>
    <row r="217" spans="9:20"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205"/>
    </row>
    <row r="218" spans="9:20"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205"/>
    </row>
    <row r="219" spans="9:20"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205"/>
    </row>
    <row r="220" spans="9:20"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205"/>
    </row>
    <row r="221" spans="9:20"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205"/>
    </row>
    <row r="222" spans="9:20"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205"/>
    </row>
    <row r="223" spans="9:20"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205"/>
    </row>
    <row r="224" spans="9:20"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205"/>
    </row>
    <row r="225" spans="9:20"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205"/>
    </row>
    <row r="226" spans="9:20"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205"/>
    </row>
    <row r="227" spans="9:20"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205"/>
    </row>
    <row r="228" spans="9:20"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205"/>
    </row>
    <row r="229" spans="9:20"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205"/>
    </row>
    <row r="230" spans="9:20"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205"/>
    </row>
    <row r="231" spans="9:20"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205"/>
    </row>
    <row r="232" spans="9:20"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205"/>
    </row>
    <row r="233" spans="9:20"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37"/>
    </row>
    <row r="234" spans="9:20"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37"/>
    </row>
    <row r="235" spans="9:20"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37"/>
    </row>
    <row r="236" spans="9:20"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37"/>
    </row>
    <row r="237" spans="9:20"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37"/>
    </row>
    <row r="238" spans="9:20"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37"/>
    </row>
    <row r="239" spans="9:20"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37"/>
    </row>
    <row r="240" spans="9:20"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37"/>
    </row>
    <row r="241" spans="9:20"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37"/>
    </row>
    <row r="242" spans="9:20"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37"/>
    </row>
    <row r="243" spans="9:20"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37"/>
    </row>
    <row r="244" spans="9:20"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37"/>
    </row>
    <row r="245" spans="9:20"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37"/>
    </row>
    <row r="246" spans="9:20"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37"/>
    </row>
    <row r="247" spans="9:20"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37"/>
    </row>
    <row r="248" spans="9:20"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37"/>
    </row>
    <row r="249" spans="9:20"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37"/>
    </row>
    <row r="250" spans="9:20"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9:20"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9:20"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9:20"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9:20"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9:20"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9:20"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9:20"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</sheetData>
  <mergeCells count="6">
    <mergeCell ref="A5:H5"/>
    <mergeCell ref="J5:Q5"/>
    <mergeCell ref="A6:H6"/>
    <mergeCell ref="J6:Q6"/>
    <mergeCell ref="A7:H7"/>
    <mergeCell ref="J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2024</vt:lpstr>
    </vt:vector>
  </TitlesOfParts>
  <Company>PUCMM - CSTA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Bianny Iraida Reyes González</dc:creator>
  <cp:lastModifiedBy>CES-EFIGENIA</cp:lastModifiedBy>
  <cp:lastPrinted>2023-01-24T14:17:03Z</cp:lastPrinted>
  <dcterms:created xsi:type="dcterms:W3CDTF">2019-09-09T17:15:41Z</dcterms:created>
  <dcterms:modified xsi:type="dcterms:W3CDTF">2024-11-07T18:23:23Z</dcterms:modified>
</cp:coreProperties>
</file>